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3B8545D8-70A4-4CC5-9FDF-8C2D9AFF9FD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4.Ведомость_списания" sheetId="15" r:id="rId1"/>
    <sheet name="3.Ресурсный_расчет" sheetId="13" r:id="rId2"/>
    <sheet name="2.Материалы" sheetId="11" r:id="rId3"/>
    <sheet name="1.Лок.смета.и.Акт" sheetId="9" r:id="rId4"/>
    <sheet name="SourceOb.1" sheetId="8" state="hidden" r:id="rId5"/>
    <sheet name="Source" sheetId="1" state="hidden" r:id="rId6"/>
    <sheet name="SourceObSm" sheetId="2" state="hidden" r:id="rId7"/>
    <sheet name="SmtRes" sheetId="3" state="hidden" r:id="rId8"/>
    <sheet name="EtalonRes" sheetId="4" state="hidden" r:id="rId9"/>
    <sheet name="SrcPoprs" sheetId="5" state="hidden" r:id="rId10"/>
    <sheet name="SrcKA" sheetId="6" state="hidden" r:id="rId11"/>
  </sheets>
  <definedNames>
    <definedName name="_xlnm.Print_Titles" localSheetId="3">'1.Лок.смета.и.Акт'!$46:$46</definedName>
    <definedName name="_xlnm.Print_Titles" localSheetId="2">'2.Материалы'!$17:$17</definedName>
    <definedName name="_xlnm.Print_Titles" localSheetId="1">'3.Ресурсный_расчет'!$17:$17</definedName>
    <definedName name="_xlnm.Print_Titles" localSheetId="0">'4.Ведомость_списания'!$23:$23</definedName>
    <definedName name="_xlnm.Print_Area" localSheetId="3">'1.Лок.смета.и.Акт'!$A$1:$K$181</definedName>
    <definedName name="_xlnm.Print_Area" localSheetId="2">'2.Материалы'!$A$1:$G$27</definedName>
    <definedName name="_xlnm.Print_Area" localSheetId="1">'3.Ресурсный_расчет'!$A$1:$G$41</definedName>
    <definedName name="_xlnm.Print_Area" localSheetId="0">'4.Ведомость_списания'!$A$1:$K$35</definedName>
  </definedNames>
  <calcPr calcId="191029"/>
</workbook>
</file>

<file path=xl/calcChain.xml><?xml version="1.0" encoding="utf-8"?>
<calcChain xmlns="http://schemas.openxmlformats.org/spreadsheetml/2006/main">
  <c r="J37" i="1" l="1"/>
  <c r="J35" i="1"/>
  <c r="J33" i="1"/>
  <c r="BU24" i="15"/>
  <c r="BS18" i="15"/>
  <c r="BR13" i="15"/>
  <c r="BR12" i="15"/>
  <c r="BR11" i="15"/>
  <c r="CA7" i="15"/>
  <c r="CA4" i="15"/>
  <c r="CA3" i="15"/>
  <c r="F33" i="13"/>
  <c r="G33" i="13" s="1"/>
  <c r="F32" i="13"/>
  <c r="G32" i="13" s="1"/>
  <c r="F31" i="13"/>
  <c r="G31" i="13" s="1"/>
  <c r="F27" i="13"/>
  <c r="G27" i="13" s="1"/>
  <c r="F26" i="13"/>
  <c r="G26" i="13" s="1"/>
  <c r="F21" i="13"/>
  <c r="G21" i="13" s="1"/>
  <c r="F22" i="13"/>
  <c r="G22" i="13" s="1"/>
  <c r="F20" i="13"/>
  <c r="G20" i="13" s="1"/>
  <c r="F19" i="13"/>
  <c r="G19" i="13" s="1"/>
  <c r="BS13" i="13"/>
  <c r="BS12" i="13"/>
  <c r="BS10" i="13"/>
  <c r="BR5" i="13"/>
  <c r="BR4" i="13"/>
  <c r="BR3" i="13"/>
  <c r="BS13" i="11"/>
  <c r="BS12" i="11"/>
  <c r="BS10" i="11"/>
  <c r="BR5" i="11"/>
  <c r="BR4" i="11"/>
  <c r="BR3" i="11"/>
  <c r="BZ177" i="9"/>
  <c r="BY177" i="9"/>
  <c r="BZ171" i="9"/>
  <c r="BY171" i="9"/>
  <c r="BZ168" i="9"/>
  <c r="BY168" i="9"/>
  <c r="I162" i="9"/>
  <c r="I151" i="9"/>
  <c r="I150" i="9"/>
  <c r="I149" i="9"/>
  <c r="K144" i="9"/>
  <c r="I144" i="9"/>
  <c r="I143" i="9"/>
  <c r="I142" i="9"/>
  <c r="I141" i="9"/>
  <c r="I139" i="9"/>
  <c r="K132" i="9"/>
  <c r="I132" i="9"/>
  <c r="K131" i="9"/>
  <c r="I131" i="9"/>
  <c r="I129" i="9"/>
  <c r="K121" i="9"/>
  <c r="I121" i="9"/>
  <c r="K120" i="9"/>
  <c r="I120" i="9"/>
  <c r="K119" i="9"/>
  <c r="I119" i="9"/>
  <c r="K118" i="9"/>
  <c r="I118" i="9"/>
  <c r="K117" i="9"/>
  <c r="I117" i="9"/>
  <c r="K116" i="9"/>
  <c r="I116" i="9"/>
  <c r="K115" i="9"/>
  <c r="I115" i="9"/>
  <c r="K114" i="9"/>
  <c r="I114" i="9"/>
  <c r="K113" i="9"/>
  <c r="I113" i="9"/>
  <c r="K112" i="9"/>
  <c r="I112" i="9"/>
  <c r="K111" i="9"/>
  <c r="I111" i="9"/>
  <c r="K110" i="9"/>
  <c r="I110" i="9"/>
  <c r="K109" i="9"/>
  <c r="I109" i="9"/>
  <c r="K108" i="9"/>
  <c r="I108" i="9"/>
  <c r="K107" i="9"/>
  <c r="I107" i="9"/>
  <c r="IU14" i="8"/>
  <c r="IT14" i="8"/>
  <c r="IS14" i="8"/>
  <c r="IQ14" i="8"/>
  <c r="IP14" i="8"/>
  <c r="IO14" i="8"/>
  <c r="GG14" i="8"/>
  <c r="GF14" i="8"/>
  <c r="GD14" i="8"/>
  <c r="GC14" i="8"/>
  <c r="GA14" i="8"/>
  <c r="FZ14" i="8"/>
  <c r="FY14" i="8"/>
  <c r="IM14" i="8"/>
  <c r="IL14" i="8"/>
  <c r="IK14" i="8"/>
  <c r="IJ14" i="8"/>
  <c r="IG14" i="8"/>
  <c r="IF14" i="8"/>
  <c r="IE14" i="8"/>
  <c r="ID14" i="8"/>
  <c r="IC14" i="8"/>
  <c r="IB14" i="8"/>
  <c r="FW14" i="8"/>
  <c r="FV14" i="8"/>
  <c r="FU14" i="8"/>
  <c r="FT14" i="8"/>
  <c r="FS14" i="8"/>
  <c r="FQ14" i="8"/>
  <c r="FP14" i="8"/>
  <c r="FO14" i="8"/>
  <c r="FJ14" i="8"/>
  <c r="FI14" i="8"/>
  <c r="FH14" i="8"/>
  <c r="FG14" i="8"/>
  <c r="FF14" i="8"/>
  <c r="FD14" i="8"/>
  <c r="FA14" i="8"/>
  <c r="BP100" i="8"/>
  <c r="BO100" i="8"/>
  <c r="BN100" i="8"/>
  <c r="BM100" i="8"/>
  <c r="BL100" i="8"/>
  <c r="BK100" i="8"/>
  <c r="BJ100" i="8"/>
  <c r="BI100" i="8"/>
  <c r="BH100" i="8"/>
  <c r="BG100" i="8"/>
  <c r="BF100" i="8"/>
  <c r="BE100" i="8"/>
  <c r="BD14" i="8"/>
  <c r="BC14" i="8"/>
  <c r="BB14" i="8"/>
  <c r="BA14" i="8"/>
  <c r="AZ14" i="8"/>
  <c r="AY14" i="8"/>
  <c r="EW41" i="1"/>
  <c r="AQ41" i="1"/>
  <c r="BA41" i="1"/>
  <c r="EV41" i="1"/>
  <c r="ER41" i="1" s="1"/>
  <c r="AO41" i="1"/>
  <c r="AK41" i="1" s="1"/>
  <c r="F93" i="9" s="1"/>
  <c r="I41" i="1"/>
  <c r="E33" i="15" s="1"/>
  <c r="I40" i="1"/>
  <c r="DW41" i="1"/>
  <c r="EW39" i="1"/>
  <c r="AQ39" i="1"/>
  <c r="BB39" i="1"/>
  <c r="ET39" i="1"/>
  <c r="AM39" i="1"/>
  <c r="BA39" i="1"/>
  <c r="EV39" i="1"/>
  <c r="AO39" i="1"/>
  <c r="I39" i="1"/>
  <c r="E32" i="15" s="1"/>
  <c r="I38" i="1"/>
  <c r="DW39" i="1"/>
  <c r="ES36" i="1"/>
  <c r="AL36" i="1"/>
  <c r="DW37" i="1"/>
  <c r="F37" i="1"/>
  <c r="ES34" i="1"/>
  <c r="AL34" i="1"/>
  <c r="DW35" i="1"/>
  <c r="F35" i="1"/>
  <c r="ES32" i="1"/>
  <c r="AL32" i="1"/>
  <c r="DW33" i="1"/>
  <c r="F33" i="1"/>
  <c r="EW31" i="1"/>
  <c r="AQ31" i="1"/>
  <c r="BB31" i="1"/>
  <c r="ET31" i="1"/>
  <c r="AM31" i="1"/>
  <c r="BA31" i="1"/>
  <c r="EV31" i="1"/>
  <c r="AO31" i="1"/>
  <c r="I31" i="1"/>
  <c r="E28" i="15" s="1"/>
  <c r="G30" i="15" s="1"/>
  <c r="I30" i="1"/>
  <c r="DW31" i="1"/>
  <c r="EW29" i="1"/>
  <c r="AQ29" i="1"/>
  <c r="BS29" i="1"/>
  <c r="EU29" i="1"/>
  <c r="AN29" i="1"/>
  <c r="BB29" i="1"/>
  <c r="ET29" i="1"/>
  <c r="AM29" i="1"/>
  <c r="BA29" i="1"/>
  <c r="EV29" i="1"/>
  <c r="AO29" i="1"/>
  <c r="I29" i="1"/>
  <c r="E27" i="15" s="1"/>
  <c r="I28" i="1"/>
  <c r="DW29" i="1"/>
  <c r="EW27" i="1"/>
  <c r="AQ27" i="1"/>
  <c r="BA27" i="1"/>
  <c r="EV27" i="1"/>
  <c r="ER27" i="1" s="1"/>
  <c r="AO27" i="1"/>
  <c r="AK27" i="1" s="1"/>
  <c r="F54" i="9" s="1"/>
  <c r="I27" i="1"/>
  <c r="E26" i="15" s="1"/>
  <c r="I26" i="1"/>
  <c r="DW27" i="1"/>
  <c r="EW25" i="1"/>
  <c r="AQ25" i="1"/>
  <c r="BA25" i="1"/>
  <c r="EV25" i="1"/>
  <c r="ER25" i="1" s="1"/>
  <c r="AO25" i="1"/>
  <c r="AK25" i="1" s="1"/>
  <c r="F47" i="9" s="1"/>
  <c r="I25" i="1"/>
  <c r="E25" i="15" s="1"/>
  <c r="I24" i="1"/>
  <c r="DW25" i="1"/>
  <c r="BT35" i="9"/>
  <c r="BV34" i="9"/>
  <c r="BT31" i="9"/>
  <c r="BT30" i="9"/>
  <c r="BT29" i="9"/>
  <c r="BU23" i="9"/>
  <c r="BW14" i="9"/>
  <c r="BS13" i="9"/>
  <c r="BS12" i="9"/>
  <c r="BS11" i="9"/>
  <c r="BR10" i="9"/>
  <c r="BR9" i="9"/>
  <c r="BR8" i="9"/>
  <c r="BR7" i="9"/>
  <c r="G23" i="13" l="1"/>
  <c r="K23" i="13" s="1"/>
  <c r="G38" i="13"/>
  <c r="G34" i="13"/>
  <c r="M34" i="13" s="1"/>
  <c r="G40" i="13" s="1"/>
  <c r="G28" i="13"/>
  <c r="L28" i="13" s="1"/>
  <c r="G39" i="13" s="1"/>
  <c r="H30" i="15"/>
  <c r="J30" i="15" s="1"/>
  <c r="G31" i="15"/>
  <c r="G29" i="15"/>
  <c r="AK39" i="1"/>
  <c r="F85" i="9" s="1"/>
  <c r="ER39" i="1"/>
  <c r="ER31" i="1"/>
  <c r="AK31" i="1"/>
  <c r="F70" i="9" s="1"/>
  <c r="AK29" i="1"/>
  <c r="F61" i="9" s="1"/>
  <c r="ER29" i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1" i="3"/>
  <c r="Y1" i="3"/>
  <c r="CV1" i="3" s="1"/>
  <c r="CU1" i="3"/>
  <c r="CY1" i="3"/>
  <c r="CZ1" i="3"/>
  <c r="DB1" i="3" s="1"/>
  <c r="DA1" i="3"/>
  <c r="DC1" i="3"/>
  <c r="A2" i="3"/>
  <c r="Y2" i="3"/>
  <c r="CX2" i="3" s="1"/>
  <c r="CU2" i="3"/>
  <c r="CY2" i="3"/>
  <c r="CZ2" i="3"/>
  <c r="DB2" i="3" s="1"/>
  <c r="DA2" i="3"/>
  <c r="DC2" i="3"/>
  <c r="A3" i="3"/>
  <c r="Y3" i="3"/>
  <c r="CX3" i="3" s="1"/>
  <c r="CU3" i="3"/>
  <c r="CY3" i="3"/>
  <c r="CZ3" i="3"/>
  <c r="DB3" i="3" s="1"/>
  <c r="DA3" i="3"/>
  <c r="DC3" i="3"/>
  <c r="A4" i="3"/>
  <c r="Y4" i="3"/>
  <c r="CU4" i="3"/>
  <c r="CY4" i="3"/>
  <c r="CZ4" i="3"/>
  <c r="DB4" i="3" s="1"/>
  <c r="DA4" i="3"/>
  <c r="DC4" i="3"/>
  <c r="A5" i="3"/>
  <c r="Y5" i="3"/>
  <c r="CV5" i="3" s="1"/>
  <c r="CU5" i="3"/>
  <c r="CX5" i="3"/>
  <c r="DG5" i="3" s="1"/>
  <c r="CY5" i="3"/>
  <c r="CZ5" i="3"/>
  <c r="DB5" i="3" s="1"/>
  <c r="DA5" i="3"/>
  <c r="DC5" i="3"/>
  <c r="A6" i="3"/>
  <c r="Y6" i="3"/>
  <c r="CX6" i="3" s="1"/>
  <c r="CY6" i="3"/>
  <c r="CZ6" i="3"/>
  <c r="DB6" i="3" s="1"/>
  <c r="DA6" i="3"/>
  <c r="DC6" i="3"/>
  <c r="A7" i="3"/>
  <c r="Y7" i="3"/>
  <c r="CX7" i="3" s="1"/>
  <c r="CW7" i="3"/>
  <c r="CY7" i="3"/>
  <c r="CZ7" i="3"/>
  <c r="DB7" i="3" s="1"/>
  <c r="DA7" i="3"/>
  <c r="DC7" i="3"/>
  <c r="A8" i="3"/>
  <c r="Y8" i="3"/>
  <c r="CX8" i="3" s="1"/>
  <c r="DH8" i="3" s="1"/>
  <c r="CU8" i="3"/>
  <c r="CY8" i="3"/>
  <c r="CZ8" i="3"/>
  <c r="DA8" i="3"/>
  <c r="DB8" i="3"/>
  <c r="DC8" i="3"/>
  <c r="A9" i="3"/>
  <c r="Y9" i="3"/>
  <c r="CX9" i="3" s="1"/>
  <c r="DG9" i="3" s="1"/>
  <c r="CY9" i="3"/>
  <c r="CZ9" i="3"/>
  <c r="DB9" i="3" s="1"/>
  <c r="DA9" i="3"/>
  <c r="DC9" i="3"/>
  <c r="A10" i="3"/>
  <c r="Y10" i="3"/>
  <c r="CW10" i="3" s="1"/>
  <c r="CY10" i="3"/>
  <c r="CZ10" i="3"/>
  <c r="DB10" i="3" s="1"/>
  <c r="DA10" i="3"/>
  <c r="DC10" i="3"/>
  <c r="A11" i="3"/>
  <c r="Y11" i="3"/>
  <c r="CV11" i="3" s="1"/>
  <c r="CU11" i="3"/>
  <c r="CX11" i="3"/>
  <c r="DG11" i="3" s="1"/>
  <c r="CY11" i="3"/>
  <c r="CZ11" i="3"/>
  <c r="DB11" i="3" s="1"/>
  <c r="DA11" i="3"/>
  <c r="DC11" i="3"/>
  <c r="A12" i="3"/>
  <c r="Y12" i="3"/>
  <c r="CW12" i="3" s="1"/>
  <c r="CX12" i="3"/>
  <c r="DH12" i="3" s="1"/>
  <c r="CY12" i="3"/>
  <c r="CZ12" i="3"/>
  <c r="DB12" i="3" s="1"/>
  <c r="DA12" i="3"/>
  <c r="DC12" i="3"/>
  <c r="A13" i="3"/>
  <c r="Y13" i="3"/>
  <c r="CX13" i="3" s="1"/>
  <c r="DG13" i="3" s="1"/>
  <c r="CY13" i="3"/>
  <c r="CZ13" i="3"/>
  <c r="DB13" i="3" s="1"/>
  <c r="DA13" i="3"/>
  <c r="DC13" i="3"/>
  <c r="A14" i="3"/>
  <c r="Y14" i="3"/>
  <c r="CX14" i="3"/>
  <c r="DH14" i="3" s="1"/>
  <c r="CY14" i="3"/>
  <c r="CZ14" i="3"/>
  <c r="DA14" i="3"/>
  <c r="DB14" i="3"/>
  <c r="DC14" i="3"/>
  <c r="A15" i="3"/>
  <c r="Y15" i="3"/>
  <c r="CX15" i="3" s="1"/>
  <c r="DI15" i="3" s="1"/>
  <c r="CY15" i="3"/>
  <c r="CZ15" i="3"/>
  <c r="DB15" i="3" s="1"/>
  <c r="DA15" i="3"/>
  <c r="DC15" i="3"/>
  <c r="A16" i="3"/>
  <c r="Y16" i="3"/>
  <c r="CV16" i="3" s="1"/>
  <c r="CU16" i="3"/>
  <c r="CX16" i="3"/>
  <c r="DH16" i="3" s="1"/>
  <c r="CY16" i="3"/>
  <c r="CZ16" i="3"/>
  <c r="DB16" i="3" s="1"/>
  <c r="DA16" i="3"/>
  <c r="DC16" i="3"/>
  <c r="A17" i="3"/>
  <c r="Y17" i="3"/>
  <c r="CY17" i="3"/>
  <c r="CZ17" i="3"/>
  <c r="DB17" i="3" s="1"/>
  <c r="DA17" i="3"/>
  <c r="DC17" i="3"/>
  <c r="A18" i="3"/>
  <c r="Y18" i="3"/>
  <c r="CX18" i="3" s="1"/>
  <c r="DI18" i="3" s="1"/>
  <c r="CY18" i="3"/>
  <c r="CZ18" i="3"/>
  <c r="DB18" i="3" s="1"/>
  <c r="DA18" i="3"/>
  <c r="DC18" i="3"/>
  <c r="A19" i="3"/>
  <c r="Y19" i="3"/>
  <c r="CX19" i="3"/>
  <c r="CY19" i="3"/>
  <c r="CZ19" i="3"/>
  <c r="DA19" i="3"/>
  <c r="DB19" i="3"/>
  <c r="DC19" i="3"/>
  <c r="A20" i="3"/>
  <c r="Y20" i="3"/>
  <c r="CX20" i="3" s="1"/>
  <c r="DI20" i="3" s="1"/>
  <c r="CY20" i="3"/>
  <c r="CZ20" i="3"/>
  <c r="DA20" i="3"/>
  <c r="DB20" i="3"/>
  <c r="DC20" i="3"/>
  <c r="A21" i="3"/>
  <c r="Y21" i="3"/>
  <c r="CV21" i="3" s="1"/>
  <c r="CU21" i="3"/>
  <c r="CX21" i="3"/>
  <c r="DH21" i="3" s="1"/>
  <c r="CY21" i="3"/>
  <c r="CZ21" i="3"/>
  <c r="DA21" i="3"/>
  <c r="DB21" i="3"/>
  <c r="DC21" i="3"/>
  <c r="A22" i="3"/>
  <c r="Y22" i="3"/>
  <c r="CW22" i="3" s="1"/>
  <c r="CX22" i="3"/>
  <c r="CY22" i="3"/>
  <c r="CZ22" i="3"/>
  <c r="DA22" i="3"/>
  <c r="DB22" i="3"/>
  <c r="DC22" i="3"/>
  <c r="A23" i="3"/>
  <c r="Y23" i="3"/>
  <c r="CX23" i="3" s="1"/>
  <c r="DI23" i="3" s="1"/>
  <c r="DJ23" i="3" s="1"/>
  <c r="CU23" i="3"/>
  <c r="CY23" i="3"/>
  <c r="CZ23" i="3"/>
  <c r="DB23" i="3" s="1"/>
  <c r="DA23" i="3"/>
  <c r="DC23" i="3"/>
  <c r="DG23" i="3"/>
  <c r="A24" i="3"/>
  <c r="Y24" i="3"/>
  <c r="CX24" i="3" s="1"/>
  <c r="DI24" i="3" s="1"/>
  <c r="CW24" i="3"/>
  <c r="CY24" i="3"/>
  <c r="CZ24" i="3"/>
  <c r="DB24" i="3" s="1"/>
  <c r="DA24" i="3"/>
  <c r="DC24" i="3"/>
  <c r="A25" i="3"/>
  <c r="Y25" i="3"/>
  <c r="CX25" i="3" s="1"/>
  <c r="DH25" i="3" s="1"/>
  <c r="CU25" i="3"/>
  <c r="CY25" i="3"/>
  <c r="CZ25" i="3"/>
  <c r="DA25" i="3"/>
  <c r="DB25" i="3"/>
  <c r="DC25" i="3"/>
  <c r="A26" i="3"/>
  <c r="Y26" i="3"/>
  <c r="CX26" i="3" s="1"/>
  <c r="DI26" i="3" s="1"/>
  <c r="DJ26" i="3" s="1"/>
  <c r="CU26" i="3"/>
  <c r="CV26" i="3"/>
  <c r="CY26" i="3"/>
  <c r="CZ26" i="3"/>
  <c r="DA26" i="3"/>
  <c r="DB26" i="3"/>
  <c r="DC26" i="3"/>
  <c r="DG2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R24" i="1"/>
  <c r="AC24" i="1"/>
  <c r="AE24" i="1"/>
  <c r="AD24" i="1" s="1"/>
  <c r="AF24" i="1"/>
  <c r="CT24" i="1" s="1"/>
  <c r="S24" i="1" s="1"/>
  <c r="CZ24" i="1" s="1"/>
  <c r="Y24" i="1" s="1"/>
  <c r="AG24" i="1"/>
  <c r="CU24" i="1" s="1"/>
  <c r="T24" i="1" s="1"/>
  <c r="AH24" i="1"/>
  <c r="CV24" i="1" s="1"/>
  <c r="U24" i="1" s="1"/>
  <c r="AI24" i="1"/>
  <c r="AJ24" i="1"/>
  <c r="CX24" i="1" s="1"/>
  <c r="W24" i="1" s="1"/>
  <c r="CQ24" i="1"/>
  <c r="P24" i="1" s="1"/>
  <c r="CS24" i="1"/>
  <c r="CW24" i="1"/>
  <c r="V24" i="1" s="1"/>
  <c r="GL24" i="1"/>
  <c r="GO24" i="1"/>
  <c r="GP24" i="1"/>
  <c r="GV24" i="1"/>
  <c r="HC24" i="1" s="1"/>
  <c r="GX24" i="1" s="1"/>
  <c r="C25" i="1"/>
  <c r="D25" i="1"/>
  <c r="AC25" i="1"/>
  <c r="AE25" i="1"/>
  <c r="AF25" i="1"/>
  <c r="CT25" i="1" s="1"/>
  <c r="S25" i="1" s="1"/>
  <c r="AG25" i="1"/>
  <c r="CU25" i="1" s="1"/>
  <c r="T25" i="1" s="1"/>
  <c r="AH25" i="1"/>
  <c r="AI25" i="1"/>
  <c r="CW25" i="1" s="1"/>
  <c r="V25" i="1" s="1"/>
  <c r="AJ25" i="1"/>
  <c r="CX25" i="1" s="1"/>
  <c r="W25" i="1" s="1"/>
  <c r="CR25" i="1"/>
  <c r="Q25" i="1" s="1"/>
  <c r="GL25" i="1"/>
  <c r="GO25" i="1"/>
  <c r="GP25" i="1"/>
  <c r="GV25" i="1"/>
  <c r="HC25" i="1"/>
  <c r="GX25" i="1" s="1"/>
  <c r="C26" i="1"/>
  <c r="D26" i="1"/>
  <c r="AC26" i="1"/>
  <c r="AD26" i="1"/>
  <c r="AE26" i="1"/>
  <c r="AF26" i="1"/>
  <c r="CT26" i="1" s="1"/>
  <c r="S26" i="1" s="1"/>
  <c r="AG26" i="1"/>
  <c r="CU26" i="1" s="1"/>
  <c r="T26" i="1" s="1"/>
  <c r="AH26" i="1"/>
  <c r="CV26" i="1" s="1"/>
  <c r="U26" i="1" s="1"/>
  <c r="AI26" i="1"/>
  <c r="CW26" i="1" s="1"/>
  <c r="V26" i="1" s="1"/>
  <c r="AJ26" i="1"/>
  <c r="CX26" i="1" s="1"/>
  <c r="W26" i="1" s="1"/>
  <c r="CQ26" i="1"/>
  <c r="P26" i="1" s="1"/>
  <c r="CR26" i="1"/>
  <c r="Q26" i="1" s="1"/>
  <c r="CS26" i="1"/>
  <c r="R26" i="1" s="1"/>
  <c r="GL26" i="1"/>
  <c r="GO26" i="1"/>
  <c r="GP26" i="1"/>
  <c r="GV26" i="1"/>
  <c r="HC26" i="1" s="1"/>
  <c r="GX26" i="1"/>
  <c r="C27" i="1"/>
  <c r="D27" i="1"/>
  <c r="AC27" i="1"/>
  <c r="AE27" i="1"/>
  <c r="AF27" i="1"/>
  <c r="AG27" i="1"/>
  <c r="CU27" i="1" s="1"/>
  <c r="T27" i="1" s="1"/>
  <c r="AH27" i="1"/>
  <c r="AI27" i="1"/>
  <c r="CW27" i="1" s="1"/>
  <c r="V27" i="1" s="1"/>
  <c r="AJ27" i="1"/>
  <c r="CX27" i="1" s="1"/>
  <c r="W27" i="1" s="1"/>
  <c r="GL27" i="1"/>
  <c r="GO27" i="1"/>
  <c r="GP27" i="1"/>
  <c r="GV27" i="1"/>
  <c r="HC27" i="1" s="1"/>
  <c r="GX27" i="1" s="1"/>
  <c r="C28" i="1"/>
  <c r="D28" i="1"/>
  <c r="AC28" i="1"/>
  <c r="AE28" i="1"/>
  <c r="AD28" i="1" s="1"/>
  <c r="AB28" i="1" s="1"/>
  <c r="AF28" i="1"/>
  <c r="CT28" i="1" s="1"/>
  <c r="S28" i="1" s="1"/>
  <c r="AG28" i="1"/>
  <c r="AH28" i="1"/>
  <c r="CV28" i="1" s="1"/>
  <c r="U28" i="1" s="1"/>
  <c r="AI28" i="1"/>
  <c r="CW28" i="1" s="1"/>
  <c r="V28" i="1" s="1"/>
  <c r="AJ28" i="1"/>
  <c r="CX28" i="1" s="1"/>
  <c r="W28" i="1" s="1"/>
  <c r="CQ28" i="1"/>
  <c r="P28" i="1" s="1"/>
  <c r="CS28" i="1"/>
  <c r="R28" i="1" s="1"/>
  <c r="CU28" i="1"/>
  <c r="T28" i="1" s="1"/>
  <c r="GL28" i="1"/>
  <c r="GO28" i="1"/>
  <c r="GP28" i="1"/>
  <c r="GV28" i="1"/>
  <c r="HC28" i="1"/>
  <c r="GX28" i="1" s="1"/>
  <c r="C29" i="1"/>
  <c r="D29" i="1"/>
  <c r="AC29" i="1"/>
  <c r="AE29" i="1"/>
  <c r="AF29" i="1"/>
  <c r="AG29" i="1"/>
  <c r="CU29" i="1" s="1"/>
  <c r="T29" i="1" s="1"/>
  <c r="AH29" i="1"/>
  <c r="AI29" i="1"/>
  <c r="CW29" i="1" s="1"/>
  <c r="V29" i="1" s="1"/>
  <c r="AJ29" i="1"/>
  <c r="CX29" i="1" s="1"/>
  <c r="W29" i="1" s="1"/>
  <c r="GL29" i="1"/>
  <c r="GO29" i="1"/>
  <c r="GP29" i="1"/>
  <c r="GV29" i="1"/>
  <c r="HC29" i="1" s="1"/>
  <c r="GX29" i="1" s="1"/>
  <c r="C30" i="1"/>
  <c r="D30" i="1"/>
  <c r="AC30" i="1"/>
  <c r="AE30" i="1"/>
  <c r="AD30" i="1" s="1"/>
  <c r="AB30" i="1" s="1"/>
  <c r="AF30" i="1"/>
  <c r="CT30" i="1" s="1"/>
  <c r="S30" i="1" s="1"/>
  <c r="AG30" i="1"/>
  <c r="AH30" i="1"/>
  <c r="CV30" i="1" s="1"/>
  <c r="U30" i="1" s="1"/>
  <c r="AI30" i="1"/>
  <c r="CW30" i="1" s="1"/>
  <c r="V30" i="1" s="1"/>
  <c r="AJ30" i="1"/>
  <c r="CX30" i="1" s="1"/>
  <c r="W30" i="1" s="1"/>
  <c r="CQ30" i="1"/>
  <c r="P30" i="1" s="1"/>
  <c r="CS30" i="1"/>
  <c r="R30" i="1" s="1"/>
  <c r="CU30" i="1"/>
  <c r="T30" i="1" s="1"/>
  <c r="GL30" i="1"/>
  <c r="GO30" i="1"/>
  <c r="GP30" i="1"/>
  <c r="GV30" i="1"/>
  <c r="HC30" i="1" s="1"/>
  <c r="GX30" i="1" s="1"/>
  <c r="C31" i="1"/>
  <c r="D31" i="1"/>
  <c r="AC31" i="1"/>
  <c r="AE31" i="1"/>
  <c r="AD31" i="1" s="1"/>
  <c r="AF31" i="1"/>
  <c r="AG31" i="1"/>
  <c r="CU31" i="1" s="1"/>
  <c r="T31" i="1" s="1"/>
  <c r="AH31" i="1"/>
  <c r="AI31" i="1"/>
  <c r="AJ31" i="1"/>
  <c r="CX31" i="1" s="1"/>
  <c r="W31" i="1" s="1"/>
  <c r="CQ31" i="1"/>
  <c r="P31" i="1" s="1"/>
  <c r="CR31" i="1"/>
  <c r="Q31" i="1" s="1"/>
  <c r="U72" i="9" s="1"/>
  <c r="CS31" i="1"/>
  <c r="R31" i="1" s="1"/>
  <c r="CW31" i="1"/>
  <c r="V31" i="1" s="1"/>
  <c r="GL31" i="1"/>
  <c r="GO31" i="1"/>
  <c r="GP31" i="1"/>
  <c r="GV31" i="1"/>
  <c r="HC31" i="1" s="1"/>
  <c r="GX31" i="1" s="1"/>
  <c r="I32" i="1"/>
  <c r="AC32" i="1"/>
  <c r="AE32" i="1"/>
  <c r="AD32" i="1" s="1"/>
  <c r="AF32" i="1"/>
  <c r="AG32" i="1"/>
  <c r="AH32" i="1"/>
  <c r="CV32" i="1" s="1"/>
  <c r="AI32" i="1"/>
  <c r="CW32" i="1" s="1"/>
  <c r="AJ32" i="1"/>
  <c r="CX32" i="1" s="1"/>
  <c r="CQ32" i="1"/>
  <c r="CS32" i="1"/>
  <c r="CU32" i="1"/>
  <c r="CY32" i="1"/>
  <c r="X32" i="1" s="1"/>
  <c r="CZ32" i="1"/>
  <c r="Y32" i="1" s="1"/>
  <c r="GL32" i="1"/>
  <c r="GO32" i="1"/>
  <c r="GP32" i="1"/>
  <c r="GV32" i="1"/>
  <c r="HC32" i="1" s="1"/>
  <c r="I33" i="1"/>
  <c r="AC33" i="1"/>
  <c r="AE33" i="1"/>
  <c r="AD33" i="1" s="1"/>
  <c r="AF33" i="1"/>
  <c r="AG33" i="1"/>
  <c r="AH33" i="1"/>
  <c r="CV33" i="1" s="1"/>
  <c r="AI33" i="1"/>
  <c r="CW33" i="1" s="1"/>
  <c r="AJ33" i="1"/>
  <c r="CX33" i="1" s="1"/>
  <c r="CQ33" i="1"/>
  <c r="CS33" i="1"/>
  <c r="CU33" i="1"/>
  <c r="T33" i="1" s="1"/>
  <c r="CY33" i="1"/>
  <c r="X33" i="1" s="1"/>
  <c r="CZ33" i="1"/>
  <c r="Y33" i="1" s="1"/>
  <c r="GL33" i="1"/>
  <c r="GO33" i="1"/>
  <c r="GP33" i="1"/>
  <c r="GV33" i="1"/>
  <c r="HC33" i="1" s="1"/>
  <c r="I34" i="1"/>
  <c r="AC34" i="1"/>
  <c r="AE34" i="1"/>
  <c r="AD34" i="1" s="1"/>
  <c r="AF34" i="1"/>
  <c r="AG34" i="1"/>
  <c r="AH34" i="1"/>
  <c r="CV34" i="1" s="1"/>
  <c r="AI34" i="1"/>
  <c r="CW34" i="1" s="1"/>
  <c r="AJ34" i="1"/>
  <c r="CX34" i="1" s="1"/>
  <c r="W34" i="1" s="1"/>
  <c r="CU34" i="1"/>
  <c r="CY34" i="1"/>
  <c r="X34" i="1" s="1"/>
  <c r="CZ34" i="1"/>
  <c r="Y34" i="1" s="1"/>
  <c r="GL34" i="1"/>
  <c r="GO34" i="1"/>
  <c r="GP34" i="1"/>
  <c r="GV34" i="1"/>
  <c r="HC34" i="1" s="1"/>
  <c r="I35" i="1"/>
  <c r="P20" i="11" s="1"/>
  <c r="O20" i="11" s="1"/>
  <c r="E20" i="11" s="1"/>
  <c r="G20" i="11" s="1"/>
  <c r="AC35" i="1"/>
  <c r="AE35" i="1"/>
  <c r="AD35" i="1" s="1"/>
  <c r="AF35" i="1"/>
  <c r="CT35" i="1" s="1"/>
  <c r="AG35" i="1"/>
  <c r="AH35" i="1"/>
  <c r="CV35" i="1" s="1"/>
  <c r="AI35" i="1"/>
  <c r="AJ35" i="1"/>
  <c r="CX35" i="1" s="1"/>
  <c r="CQ35" i="1"/>
  <c r="CS35" i="1"/>
  <c r="CU35" i="1"/>
  <c r="CW35" i="1"/>
  <c r="CY35" i="1"/>
  <c r="X35" i="1" s="1"/>
  <c r="CZ35" i="1"/>
  <c r="Y35" i="1" s="1"/>
  <c r="GL35" i="1"/>
  <c r="GO35" i="1"/>
  <c r="GP35" i="1"/>
  <c r="GV35" i="1"/>
  <c r="HC35" i="1" s="1"/>
  <c r="I36" i="1"/>
  <c r="V36" i="1" s="1"/>
  <c r="AC36" i="1"/>
  <c r="CQ36" i="1" s="1"/>
  <c r="AE36" i="1"/>
  <c r="AD36" i="1" s="1"/>
  <c r="AF36" i="1"/>
  <c r="CT36" i="1" s="1"/>
  <c r="AG36" i="1"/>
  <c r="CU36" i="1" s="1"/>
  <c r="AH36" i="1"/>
  <c r="CV36" i="1" s="1"/>
  <c r="AI36" i="1"/>
  <c r="AJ36" i="1"/>
  <c r="CX36" i="1" s="1"/>
  <c r="CR36" i="1"/>
  <c r="CW36" i="1"/>
  <c r="CY36" i="1"/>
  <c r="X36" i="1" s="1"/>
  <c r="CZ36" i="1"/>
  <c r="Y36" i="1" s="1"/>
  <c r="GL36" i="1"/>
  <c r="GO36" i="1"/>
  <c r="GP36" i="1"/>
  <c r="GV36" i="1"/>
  <c r="HC36" i="1" s="1"/>
  <c r="I37" i="1"/>
  <c r="AC37" i="1"/>
  <c r="CQ37" i="1" s="1"/>
  <c r="AD37" i="1"/>
  <c r="AE37" i="1"/>
  <c r="CR37" i="1" s="1"/>
  <c r="AF37" i="1"/>
  <c r="CT37" i="1" s="1"/>
  <c r="AG37" i="1"/>
  <c r="CU37" i="1" s="1"/>
  <c r="AH37" i="1"/>
  <c r="CV37" i="1" s="1"/>
  <c r="AI37" i="1"/>
  <c r="AJ37" i="1"/>
  <c r="CX37" i="1" s="1"/>
  <c r="CS37" i="1"/>
  <c r="CW37" i="1"/>
  <c r="CY37" i="1"/>
  <c r="X37" i="1" s="1"/>
  <c r="CZ37" i="1"/>
  <c r="Y37" i="1" s="1"/>
  <c r="GL37" i="1"/>
  <c r="GO37" i="1"/>
  <c r="GP37" i="1"/>
  <c r="GV37" i="1"/>
  <c r="HC37" i="1" s="1"/>
  <c r="C38" i="1"/>
  <c r="D38" i="1"/>
  <c r="AC38" i="1"/>
  <c r="CQ38" i="1" s="1"/>
  <c r="P38" i="1" s="1"/>
  <c r="AE38" i="1"/>
  <c r="AF38" i="1"/>
  <c r="CT38" i="1" s="1"/>
  <c r="S38" i="1" s="1"/>
  <c r="AG38" i="1"/>
  <c r="CU38" i="1" s="1"/>
  <c r="T38" i="1" s="1"/>
  <c r="AH38" i="1"/>
  <c r="AI38" i="1"/>
  <c r="CW38" i="1" s="1"/>
  <c r="V38" i="1" s="1"/>
  <c r="AJ38" i="1"/>
  <c r="CX38" i="1" s="1"/>
  <c r="W38" i="1" s="1"/>
  <c r="CR38" i="1"/>
  <c r="Q38" i="1" s="1"/>
  <c r="CV38" i="1"/>
  <c r="U38" i="1" s="1"/>
  <c r="GL38" i="1"/>
  <c r="GO38" i="1"/>
  <c r="GP38" i="1"/>
  <c r="GV38" i="1"/>
  <c r="HC38" i="1" s="1"/>
  <c r="GX38" i="1" s="1"/>
  <c r="C39" i="1"/>
  <c r="D39" i="1"/>
  <c r="AC39" i="1"/>
  <c r="AE39" i="1"/>
  <c r="CS39" i="1" s="1"/>
  <c r="R39" i="1" s="1"/>
  <c r="AF39" i="1"/>
  <c r="AG39" i="1"/>
  <c r="AH39" i="1"/>
  <c r="AI39" i="1"/>
  <c r="CW39" i="1" s="1"/>
  <c r="V39" i="1" s="1"/>
  <c r="AJ39" i="1"/>
  <c r="CX39" i="1" s="1"/>
  <c r="W39" i="1" s="1"/>
  <c r="CQ39" i="1"/>
  <c r="P39" i="1" s="1"/>
  <c r="CU39" i="1"/>
  <c r="T39" i="1" s="1"/>
  <c r="GL39" i="1"/>
  <c r="GO39" i="1"/>
  <c r="GP39" i="1"/>
  <c r="GV39" i="1"/>
  <c r="HC39" i="1" s="1"/>
  <c r="GX39" i="1" s="1"/>
  <c r="C40" i="1"/>
  <c r="D40" i="1"/>
  <c r="AC40" i="1"/>
  <c r="AD40" i="1"/>
  <c r="AE40" i="1"/>
  <c r="CS40" i="1" s="1"/>
  <c r="R40" i="1" s="1"/>
  <c r="AF40" i="1"/>
  <c r="AG40" i="1"/>
  <c r="AH40" i="1"/>
  <c r="CV40" i="1" s="1"/>
  <c r="U40" i="1" s="1"/>
  <c r="AI40" i="1"/>
  <c r="CW40" i="1" s="1"/>
  <c r="V40" i="1" s="1"/>
  <c r="AJ40" i="1"/>
  <c r="CT40" i="1"/>
  <c r="S40" i="1" s="1"/>
  <c r="CU40" i="1"/>
  <c r="T40" i="1" s="1"/>
  <c r="CX40" i="1"/>
  <c r="W40" i="1" s="1"/>
  <c r="GL40" i="1"/>
  <c r="GO40" i="1"/>
  <c r="GP40" i="1"/>
  <c r="GV40" i="1"/>
  <c r="HC40" i="1" s="1"/>
  <c r="GX40" i="1" s="1"/>
  <c r="C41" i="1"/>
  <c r="D41" i="1"/>
  <c r="AC41" i="1"/>
  <c r="AE41" i="1"/>
  <c r="AD41" i="1" s="1"/>
  <c r="AF41" i="1"/>
  <c r="AG41" i="1"/>
  <c r="CU41" i="1" s="1"/>
  <c r="T41" i="1" s="1"/>
  <c r="AH41" i="1"/>
  <c r="AI41" i="1"/>
  <c r="AJ41" i="1"/>
  <c r="CW41" i="1"/>
  <c r="V41" i="1" s="1"/>
  <c r="CX41" i="1"/>
  <c r="W41" i="1" s="1"/>
  <c r="GL41" i="1"/>
  <c r="GO41" i="1"/>
  <c r="GP41" i="1"/>
  <c r="GV41" i="1"/>
  <c r="HC41" i="1" s="1"/>
  <c r="GX41" i="1" s="1"/>
  <c r="B43" i="1"/>
  <c r="B22" i="1" s="1"/>
  <c r="C43" i="1"/>
  <c r="C22" i="1" s="1"/>
  <c r="D43" i="1"/>
  <c r="D22" i="1" s="1"/>
  <c r="F43" i="1"/>
  <c r="F22" i="1" s="1"/>
  <c r="G43" i="1"/>
  <c r="G22" i="1" s="1"/>
  <c r="BX43" i="1"/>
  <c r="BX22" i="1" s="1"/>
  <c r="BY43" i="1"/>
  <c r="BY22" i="1" s="1"/>
  <c r="CK43" i="1"/>
  <c r="CK22" i="1" s="1"/>
  <c r="CL43" i="1"/>
  <c r="CL22" i="1" s="1"/>
  <c r="CM43" i="1"/>
  <c r="CM22" i="1" s="1"/>
  <c r="FP43" i="1"/>
  <c r="FP22" i="1" s="1"/>
  <c r="FQ43" i="1"/>
  <c r="FQ22" i="1" s="1"/>
  <c r="GC43" i="1"/>
  <c r="GC22" i="1" s="1"/>
  <c r="GD43" i="1"/>
  <c r="GD22" i="1" s="1"/>
  <c r="GE43" i="1"/>
  <c r="GE22" i="1" s="1"/>
  <c r="B73" i="1"/>
  <c r="B18" i="1" s="1"/>
  <c r="C73" i="1"/>
  <c r="C18" i="1" s="1"/>
  <c r="D73" i="1"/>
  <c r="D18" i="1" s="1"/>
  <c r="F73" i="1"/>
  <c r="F18" i="1" s="1"/>
  <c r="G73" i="1"/>
  <c r="G18" i="1" s="1"/>
  <c r="F12" i="6"/>
  <c r="G12" i="6"/>
  <c r="CR41" i="1" l="1"/>
  <c r="Q41" i="1" s="1"/>
  <c r="CS36" i="1"/>
  <c r="CR35" i="1"/>
  <c r="CR34" i="1"/>
  <c r="CZ26" i="1"/>
  <c r="Y26" i="1" s="1"/>
  <c r="CV25" i="3"/>
  <c r="CX10" i="3"/>
  <c r="DF10" i="3" s="1"/>
  <c r="CV8" i="3"/>
  <c r="CV3" i="3"/>
  <c r="CV2" i="3"/>
  <c r="CX1" i="3"/>
  <c r="DG1" i="3" s="1"/>
  <c r="AB33" i="1"/>
  <c r="CR24" i="1"/>
  <c r="Q24" i="1" s="1"/>
  <c r="CV23" i="3"/>
  <c r="DG18" i="3"/>
  <c r="G36" i="13"/>
  <c r="BC43" i="1"/>
  <c r="BC22" i="1" s="1"/>
  <c r="CS41" i="1"/>
  <c r="R41" i="1" s="1"/>
  <c r="CR40" i="1"/>
  <c r="Q40" i="1" s="1"/>
  <c r="AB40" i="1"/>
  <c r="CR39" i="1"/>
  <c r="Q39" i="1" s="1"/>
  <c r="U87" i="9" s="1"/>
  <c r="AD39" i="1"/>
  <c r="CS34" i="1"/>
  <c r="CR33" i="1"/>
  <c r="Q33" i="1" s="1"/>
  <c r="CR32" i="1"/>
  <c r="CR30" i="1"/>
  <c r="Q30" i="1" s="1"/>
  <c r="CR28" i="1"/>
  <c r="Q28" i="1" s="1"/>
  <c r="I30" i="15"/>
  <c r="H31" i="15"/>
  <c r="I31" i="15" s="1"/>
  <c r="H29" i="15"/>
  <c r="J29" i="15" s="1"/>
  <c r="I29" i="15"/>
  <c r="E80" i="9"/>
  <c r="P19" i="11"/>
  <c r="O19" i="11" s="1"/>
  <c r="E19" i="11" s="1"/>
  <c r="G19" i="11" s="1"/>
  <c r="E76" i="9"/>
  <c r="P21" i="11"/>
  <c r="O21" i="11" s="1"/>
  <c r="E21" i="11" s="1"/>
  <c r="G21" i="11" s="1"/>
  <c r="CY40" i="1"/>
  <c r="X40" i="1" s="1"/>
  <c r="CT41" i="1"/>
  <c r="S41" i="1" s="1"/>
  <c r="T96" i="9"/>
  <c r="T95" i="9"/>
  <c r="T94" i="9"/>
  <c r="H96" i="9"/>
  <c r="H95" i="9"/>
  <c r="H94" i="9"/>
  <c r="CV41" i="1"/>
  <c r="U41" i="1" s="1"/>
  <c r="I97" i="9" s="1"/>
  <c r="H97" i="9"/>
  <c r="AB41" i="1"/>
  <c r="CZ40" i="1"/>
  <c r="Y40" i="1" s="1"/>
  <c r="Q35" i="1"/>
  <c r="U35" i="1"/>
  <c r="T32" i="1"/>
  <c r="W32" i="1"/>
  <c r="DS87" i="9"/>
  <c r="K87" i="9"/>
  <c r="CV39" i="1"/>
  <c r="U39" i="1" s="1"/>
  <c r="I90" i="9" s="1"/>
  <c r="H90" i="9"/>
  <c r="H87" i="9"/>
  <c r="T87" i="9"/>
  <c r="CT39" i="1"/>
  <c r="S39" i="1" s="1"/>
  <c r="CP39" i="1" s="1"/>
  <c r="O39" i="1" s="1"/>
  <c r="H89" i="9"/>
  <c r="H88" i="9"/>
  <c r="T89" i="9"/>
  <c r="T88" i="9"/>
  <c r="T86" i="9"/>
  <c r="H86" i="9"/>
  <c r="BZ43" i="1"/>
  <c r="BZ22" i="1" s="1"/>
  <c r="AB39" i="1"/>
  <c r="CQ34" i="1"/>
  <c r="P34" i="1" s="1"/>
  <c r="T78" i="9"/>
  <c r="H78" i="9"/>
  <c r="T76" i="9"/>
  <c r="H76" i="9"/>
  <c r="H72" i="9"/>
  <c r="T72" i="9"/>
  <c r="CP28" i="1"/>
  <c r="O28" i="1" s="1"/>
  <c r="T80" i="9"/>
  <c r="H80" i="9"/>
  <c r="K72" i="9"/>
  <c r="DS72" i="9"/>
  <c r="CV31" i="1"/>
  <c r="U31" i="1" s="1"/>
  <c r="I75" i="9" s="1"/>
  <c r="H75" i="9"/>
  <c r="CT31" i="1"/>
  <c r="S31" i="1" s="1"/>
  <c r="CP31" i="1" s="1"/>
  <c r="O31" i="1" s="1"/>
  <c r="H74" i="9"/>
  <c r="H73" i="9"/>
  <c r="H71" i="9"/>
  <c r="T73" i="9"/>
  <c r="T74" i="9"/>
  <c r="T71" i="9"/>
  <c r="V35" i="1"/>
  <c r="E78" i="9"/>
  <c r="T34" i="1"/>
  <c r="AB34" i="1"/>
  <c r="AB32" i="1"/>
  <c r="AB31" i="1"/>
  <c r="R36" i="1"/>
  <c r="GX35" i="1"/>
  <c r="R35" i="1"/>
  <c r="V34" i="1"/>
  <c r="V33" i="1"/>
  <c r="P33" i="1"/>
  <c r="V32" i="1"/>
  <c r="P32" i="1"/>
  <c r="CP30" i="1"/>
  <c r="O30" i="1" s="1"/>
  <c r="W33" i="1"/>
  <c r="GX37" i="1"/>
  <c r="Q37" i="1"/>
  <c r="T37" i="1"/>
  <c r="DY43" i="1" s="1"/>
  <c r="P37" i="1"/>
  <c r="T35" i="1"/>
  <c r="W35" i="1"/>
  <c r="S35" i="1"/>
  <c r="Q34" i="1"/>
  <c r="U34" i="1"/>
  <c r="U33" i="1"/>
  <c r="Q32" i="1"/>
  <c r="U32" i="1"/>
  <c r="DG15" i="3"/>
  <c r="V37" i="1"/>
  <c r="DF16" i="3"/>
  <c r="R37" i="1"/>
  <c r="P35" i="1"/>
  <c r="GX33" i="1"/>
  <c r="R33" i="1"/>
  <c r="DG20" i="3"/>
  <c r="DF11" i="3"/>
  <c r="CD43" i="1"/>
  <c r="CD22" i="1" s="1"/>
  <c r="P36" i="1"/>
  <c r="T36" i="1"/>
  <c r="GX34" i="1"/>
  <c r="R34" i="1"/>
  <c r="GX32" i="1"/>
  <c r="R32" i="1"/>
  <c r="CY30" i="1"/>
  <c r="X30" i="1" s="1"/>
  <c r="DF12" i="3"/>
  <c r="DH11" i="3"/>
  <c r="H64" i="9"/>
  <c r="GM64" i="9"/>
  <c r="CV29" i="1"/>
  <c r="U29" i="1" s="1"/>
  <c r="I67" i="9" s="1"/>
  <c r="H67" i="9"/>
  <c r="CT29" i="1"/>
  <c r="S29" i="1" s="1"/>
  <c r="T62" i="9"/>
  <c r="H65" i="9"/>
  <c r="T66" i="9"/>
  <c r="T65" i="9"/>
  <c r="H62" i="9"/>
  <c r="H66" i="9"/>
  <c r="DH5" i="3"/>
  <c r="CY28" i="1"/>
  <c r="X28" i="1" s="1"/>
  <c r="DH10" i="3"/>
  <c r="DF5" i="3"/>
  <c r="CT27" i="1"/>
  <c r="S27" i="1" s="1"/>
  <c r="T57" i="9"/>
  <c r="T56" i="9"/>
  <c r="T55" i="9"/>
  <c r="H57" i="9"/>
  <c r="H56" i="9"/>
  <c r="H55" i="9"/>
  <c r="CC43" i="1"/>
  <c r="CC22" i="1" s="1"/>
  <c r="CV27" i="1"/>
  <c r="U27" i="1" s="1"/>
  <c r="I58" i="9" s="1"/>
  <c r="H58" i="9"/>
  <c r="FU43" i="1"/>
  <c r="FU22" i="1" s="1"/>
  <c r="CP26" i="1"/>
  <c r="O26" i="1" s="1"/>
  <c r="DG48" i="9"/>
  <c r="U48" i="9"/>
  <c r="CV25" i="1"/>
  <c r="U25" i="1" s="1"/>
  <c r="I51" i="9" s="1"/>
  <c r="H51" i="9"/>
  <c r="EA43" i="1"/>
  <c r="EA22" i="1" s="1"/>
  <c r="T50" i="9"/>
  <c r="T49" i="9"/>
  <c r="T48" i="9"/>
  <c r="H50" i="9"/>
  <c r="H49" i="9"/>
  <c r="H48" i="9"/>
  <c r="CP24" i="1"/>
  <c r="O24" i="1" s="1"/>
  <c r="CZ41" i="1"/>
  <c r="Y41" i="1" s="1"/>
  <c r="U96" i="9" s="1"/>
  <c r="CY41" i="1"/>
  <c r="X41" i="1" s="1"/>
  <c r="U95" i="9" s="1"/>
  <c r="AP43" i="1"/>
  <c r="BC73" i="1"/>
  <c r="F59" i="1"/>
  <c r="ET43" i="1"/>
  <c r="DX14" i="8" s="1"/>
  <c r="BD43" i="1"/>
  <c r="CQ41" i="1"/>
  <c r="P41" i="1" s="1"/>
  <c r="CP41" i="1" s="1"/>
  <c r="O41" i="1" s="1"/>
  <c r="CQ40" i="1"/>
  <c r="P40" i="1" s="1"/>
  <c r="CS38" i="1"/>
  <c r="R38" i="1" s="1"/>
  <c r="CZ38" i="1" s="1"/>
  <c r="Y38" i="1" s="1"/>
  <c r="AD38" i="1"/>
  <c r="AB38" i="1" s="1"/>
  <c r="W37" i="1"/>
  <c r="S37" i="1"/>
  <c r="AB37" i="1"/>
  <c r="GX36" i="1"/>
  <c r="Q36" i="1"/>
  <c r="U36" i="1"/>
  <c r="AH43" i="1" s="1"/>
  <c r="FR43" i="1"/>
  <c r="FY43" i="1" s="1"/>
  <c r="CP38" i="1"/>
  <c r="O38" i="1" s="1"/>
  <c r="AB35" i="1"/>
  <c r="EH43" i="1"/>
  <c r="EG43" i="1"/>
  <c r="BB43" i="1"/>
  <c r="AQ43" i="1"/>
  <c r="U37" i="1"/>
  <c r="W36" i="1"/>
  <c r="AJ43" i="1" s="1"/>
  <c r="S36" i="1"/>
  <c r="AB36" i="1"/>
  <c r="FV43" i="1"/>
  <c r="CY31" i="1"/>
  <c r="X31" i="1" s="1"/>
  <c r="U73" i="9" s="1"/>
  <c r="CZ31" i="1"/>
  <c r="Y31" i="1" s="1"/>
  <c r="U74" i="9" s="1"/>
  <c r="AI43" i="1"/>
  <c r="EV43" i="1"/>
  <c r="DZ14" i="8" s="1"/>
  <c r="EU43" i="1"/>
  <c r="DY14" i="8" s="1"/>
  <c r="AO43" i="1"/>
  <c r="CZ30" i="1"/>
  <c r="Y30" i="1" s="1"/>
  <c r="CZ28" i="1"/>
  <c r="Y28" i="1" s="1"/>
  <c r="CS25" i="1"/>
  <c r="R25" i="1" s="1"/>
  <c r="AD25" i="1"/>
  <c r="CS29" i="1"/>
  <c r="R29" i="1" s="1"/>
  <c r="AD29" i="1"/>
  <c r="AD27" i="1"/>
  <c r="AB27" i="1" s="1"/>
  <c r="CS27" i="1"/>
  <c r="R27" i="1" s="1"/>
  <c r="CY26" i="1"/>
  <c r="X26" i="1" s="1"/>
  <c r="AB25" i="1"/>
  <c r="CQ25" i="1"/>
  <c r="P25" i="1" s="1"/>
  <c r="CY24" i="1"/>
  <c r="X24" i="1" s="1"/>
  <c r="CT34" i="1"/>
  <c r="S34" i="1" s="1"/>
  <c r="CT33" i="1"/>
  <c r="S33" i="1" s="1"/>
  <c r="CT32" i="1"/>
  <c r="S32" i="1" s="1"/>
  <c r="CR29" i="1"/>
  <c r="Q29" i="1" s="1"/>
  <c r="U63" i="9" s="1"/>
  <c r="CQ29" i="1"/>
  <c r="P29" i="1" s="1"/>
  <c r="CR27" i="1"/>
  <c r="Q27" i="1" s="1"/>
  <c r="CQ27" i="1"/>
  <c r="P27" i="1" s="1"/>
  <c r="DG19" i="3"/>
  <c r="DI19" i="3"/>
  <c r="DF19" i="3"/>
  <c r="DJ19" i="3" s="1"/>
  <c r="DH19" i="3"/>
  <c r="AB26" i="1"/>
  <c r="AB24" i="1"/>
  <c r="DI22" i="3"/>
  <c r="DG22" i="3"/>
  <c r="DJ22" i="3" s="1"/>
  <c r="DF22" i="3"/>
  <c r="DH22" i="3"/>
  <c r="CW17" i="3"/>
  <c r="CX17" i="3"/>
  <c r="DI25" i="3"/>
  <c r="DJ25" i="3" s="1"/>
  <c r="DG25" i="3"/>
  <c r="DH24" i="3"/>
  <c r="DF24" i="3"/>
  <c r="DG21" i="3"/>
  <c r="DI21" i="3"/>
  <c r="DJ21" i="3" s="1"/>
  <c r="DG14" i="3"/>
  <c r="DI14" i="3"/>
  <c r="DH13" i="3"/>
  <c r="DF13" i="3"/>
  <c r="DJ13" i="3" s="1"/>
  <c r="DH7" i="3"/>
  <c r="DI7" i="3"/>
  <c r="DF7" i="3"/>
  <c r="DF6" i="3"/>
  <c r="DG6" i="3"/>
  <c r="DH6" i="3"/>
  <c r="CV4" i="3"/>
  <c r="CX4" i="3"/>
  <c r="DI3" i="3"/>
  <c r="DJ3" i="3" s="1"/>
  <c r="DF3" i="3"/>
  <c r="DG3" i="3"/>
  <c r="DH2" i="3"/>
  <c r="DI2" i="3"/>
  <c r="DJ2" i="3" s="1"/>
  <c r="DF2" i="3"/>
  <c r="DF26" i="3"/>
  <c r="DH26" i="3"/>
  <c r="DF25" i="3"/>
  <c r="DG24" i="3"/>
  <c r="DJ24" i="3" s="1"/>
  <c r="DF21" i="3"/>
  <c r="DH18" i="3"/>
  <c r="DF18" i="3"/>
  <c r="DJ18" i="3" s="1"/>
  <c r="DF15" i="3"/>
  <c r="DJ15" i="3" s="1"/>
  <c r="DH15" i="3"/>
  <c r="DF14" i="3"/>
  <c r="DJ14" i="3" s="1"/>
  <c r="DH9" i="3"/>
  <c r="DI9" i="3"/>
  <c r="DJ9" i="3" s="1"/>
  <c r="DF9" i="3"/>
  <c r="DI8" i="3"/>
  <c r="DJ8" i="3" s="1"/>
  <c r="DF8" i="3"/>
  <c r="DG8" i="3"/>
  <c r="DG2" i="3"/>
  <c r="DF23" i="3"/>
  <c r="DH23" i="3"/>
  <c r="DF20" i="3"/>
  <c r="DJ20" i="3" s="1"/>
  <c r="DH20" i="3"/>
  <c r="DG16" i="3"/>
  <c r="DI16" i="3"/>
  <c r="DJ16" i="3" s="1"/>
  <c r="DI13" i="3"/>
  <c r="DI12" i="3"/>
  <c r="DG12" i="3"/>
  <c r="DJ12" i="3" s="1"/>
  <c r="DG7" i="3"/>
  <c r="DJ7" i="3" s="1"/>
  <c r="DI6" i="3"/>
  <c r="DJ6" i="3" s="1"/>
  <c r="DH3" i="3"/>
  <c r="DI11" i="3"/>
  <c r="DJ11" i="3" s="1"/>
  <c r="DI5" i="3"/>
  <c r="DJ5" i="3" s="1"/>
  <c r="DI1" i="3"/>
  <c r="DJ1" i="3" s="1"/>
  <c r="K162" i="9" l="1"/>
  <c r="DD14" i="8"/>
  <c r="DF1" i="3"/>
  <c r="DI10" i="3"/>
  <c r="K150" i="9"/>
  <c r="DI14" i="8"/>
  <c r="K141" i="9"/>
  <c r="K139" i="9"/>
  <c r="DS14" i="8"/>
  <c r="DG10" i="3"/>
  <c r="DJ10" i="3" s="1"/>
  <c r="DH1" i="3"/>
  <c r="EY14" i="8"/>
  <c r="I125" i="9"/>
  <c r="GB43" i="1"/>
  <c r="GB22" i="1" s="1"/>
  <c r="AD43" i="1"/>
  <c r="AD22" i="1" s="1"/>
  <c r="J31" i="15"/>
  <c r="CJ43" i="1"/>
  <c r="BA43" i="1" s="1"/>
  <c r="G22" i="11"/>
  <c r="M22" i="11" s="1"/>
  <c r="G24" i="11" s="1"/>
  <c r="IK2" i="1" s="1"/>
  <c r="GM30" i="1"/>
  <c r="GN30" i="1" s="1"/>
  <c r="CZ39" i="1"/>
  <c r="Y39" i="1" s="1"/>
  <c r="U89" i="9" s="1"/>
  <c r="DS89" i="9" s="1"/>
  <c r="HF95" i="9"/>
  <c r="I95" i="9"/>
  <c r="HB95" i="9"/>
  <c r="HL95" i="9"/>
  <c r="HN95" i="9"/>
  <c r="GY95" i="9"/>
  <c r="DQ95" i="9"/>
  <c r="DS95" i="9"/>
  <c r="K95" i="9"/>
  <c r="HF96" i="9"/>
  <c r="I96" i="9"/>
  <c r="HL96" i="9"/>
  <c r="HB96" i="9"/>
  <c r="HN96" i="9"/>
  <c r="GZ96" i="9"/>
  <c r="DQ96" i="9"/>
  <c r="DS96" i="9"/>
  <c r="K96" i="9"/>
  <c r="DG94" i="9"/>
  <c r="U94" i="9"/>
  <c r="R98" i="9"/>
  <c r="HN94" i="9"/>
  <c r="HX94" i="9"/>
  <c r="I94" i="9"/>
  <c r="DQ94" i="9"/>
  <c r="HL94" i="9"/>
  <c r="GK94" i="9"/>
  <c r="HF94" i="9"/>
  <c r="GJ94" i="9"/>
  <c r="HB94" i="9"/>
  <c r="CG43" i="1"/>
  <c r="CG22" i="1" s="1"/>
  <c r="CI43" i="1"/>
  <c r="CI22" i="1" s="1"/>
  <c r="CP35" i="1"/>
  <c r="O35" i="1" s="1"/>
  <c r="GM35" i="1" s="1"/>
  <c r="GN35" i="1" s="1"/>
  <c r="CY39" i="1"/>
  <c r="X39" i="1" s="1"/>
  <c r="U88" i="9" s="1"/>
  <c r="K88" i="9" s="1"/>
  <c r="DX43" i="1"/>
  <c r="DX22" i="1" s="1"/>
  <c r="EB43" i="1"/>
  <c r="EB22" i="1" s="1"/>
  <c r="R91" i="9"/>
  <c r="HN86" i="9"/>
  <c r="HX86" i="9"/>
  <c r="I86" i="9"/>
  <c r="GJ86" i="9"/>
  <c r="HB86" i="9"/>
  <c r="HL86" i="9"/>
  <c r="GK86" i="9"/>
  <c r="HF86" i="9"/>
  <c r="DQ86" i="9"/>
  <c r="HL87" i="9"/>
  <c r="GJ87" i="9"/>
  <c r="HB87" i="9"/>
  <c r="I87" i="9"/>
  <c r="GL87" i="9"/>
  <c r="HF87" i="9"/>
  <c r="DQ87" i="9"/>
  <c r="HN87" i="9"/>
  <c r="HF88" i="9"/>
  <c r="I88" i="9"/>
  <c r="HN88" i="9"/>
  <c r="GY88" i="9"/>
  <c r="HL88" i="9"/>
  <c r="DQ88" i="9"/>
  <c r="HB88" i="9"/>
  <c r="U86" i="9"/>
  <c r="DG86" i="9"/>
  <c r="CP34" i="1"/>
  <c r="O34" i="1" s="1"/>
  <c r="GM34" i="1" s="1"/>
  <c r="GN34" i="1" s="1"/>
  <c r="HF89" i="9"/>
  <c r="I89" i="9"/>
  <c r="HN89" i="9"/>
  <c r="GZ89" i="9"/>
  <c r="HL89" i="9"/>
  <c r="DQ89" i="9"/>
  <c r="HB89" i="9"/>
  <c r="AG43" i="1"/>
  <c r="AG22" i="1" s="1"/>
  <c r="CP32" i="1"/>
  <c r="O32" i="1" s="1"/>
  <c r="GM32" i="1" s="1"/>
  <c r="GN32" i="1" s="1"/>
  <c r="CP37" i="1"/>
  <c r="O37" i="1" s="1"/>
  <c r="GM37" i="1" s="1"/>
  <c r="GN37" i="1" s="1"/>
  <c r="R83" i="9"/>
  <c r="DM78" i="9"/>
  <c r="U78" i="9"/>
  <c r="K78" i="9" s="1"/>
  <c r="HN74" i="9"/>
  <c r="GZ74" i="9"/>
  <c r="HL74" i="9"/>
  <c r="DQ74" i="9"/>
  <c r="HF74" i="9"/>
  <c r="HB74" i="9"/>
  <c r="I74" i="9"/>
  <c r="HL76" i="9"/>
  <c r="GS76" i="9"/>
  <c r="DK76" i="9"/>
  <c r="HB76" i="9"/>
  <c r="HF76" i="9"/>
  <c r="GQ76" i="9"/>
  <c r="I76" i="9"/>
  <c r="GP76" i="9"/>
  <c r="GJ76" i="9"/>
  <c r="HN76" i="9"/>
  <c r="GN76" i="9"/>
  <c r="DS74" i="9"/>
  <c r="K74" i="9"/>
  <c r="HN73" i="9"/>
  <c r="GY73" i="9"/>
  <c r="HL73" i="9"/>
  <c r="DQ73" i="9"/>
  <c r="HF73" i="9"/>
  <c r="HB73" i="9"/>
  <c r="I73" i="9"/>
  <c r="U71" i="9"/>
  <c r="DG71" i="9"/>
  <c r="HB72" i="9"/>
  <c r="I72" i="9"/>
  <c r="HL72" i="9"/>
  <c r="HN72" i="9"/>
  <c r="GL72" i="9"/>
  <c r="GJ72" i="9"/>
  <c r="HF72" i="9"/>
  <c r="DQ72" i="9"/>
  <c r="DS73" i="9"/>
  <c r="K73" i="9"/>
  <c r="GM28" i="1"/>
  <c r="GN28" i="1" s="1"/>
  <c r="U80" i="9"/>
  <c r="K80" i="9" s="1"/>
  <c r="DM80" i="9"/>
  <c r="DM76" i="9"/>
  <c r="U76" i="9"/>
  <c r="K76" i="9" s="1"/>
  <c r="HF78" i="9"/>
  <c r="GQ78" i="9"/>
  <c r="I78" i="9"/>
  <c r="GS78" i="9"/>
  <c r="HB78" i="9"/>
  <c r="GP78" i="9"/>
  <c r="HL78" i="9"/>
  <c r="HN78" i="9"/>
  <c r="GJ78" i="9"/>
  <c r="GN78" i="9"/>
  <c r="DK78" i="9"/>
  <c r="HF71" i="9"/>
  <c r="GJ71" i="9"/>
  <c r="I71" i="9"/>
  <c r="HB71" i="9"/>
  <c r="DQ71" i="9"/>
  <c r="HX71" i="9"/>
  <c r="GK71" i="9"/>
  <c r="HN71" i="9"/>
  <c r="HL71" i="9"/>
  <c r="HB80" i="9"/>
  <c r="GP80" i="9"/>
  <c r="HN80" i="9"/>
  <c r="GJ80" i="9"/>
  <c r="GN80" i="9"/>
  <c r="HF80" i="9"/>
  <c r="I80" i="9"/>
  <c r="HL80" i="9"/>
  <c r="GS80" i="9"/>
  <c r="DK80" i="9"/>
  <c r="GQ80" i="9"/>
  <c r="AU43" i="1"/>
  <c r="F62" i="1" s="1"/>
  <c r="GM31" i="1"/>
  <c r="GN31" i="1" s="1"/>
  <c r="GM24" i="1"/>
  <c r="CZ27" i="1"/>
  <c r="Y27" i="1" s="1"/>
  <c r="U57" i="9" s="1"/>
  <c r="DS57" i="9" s="1"/>
  <c r="HF66" i="9"/>
  <c r="I66" i="9"/>
  <c r="GZ66" i="9"/>
  <c r="HL66" i="9"/>
  <c r="HB66" i="9"/>
  <c r="HN66" i="9"/>
  <c r="DQ66" i="9"/>
  <c r="HL62" i="9"/>
  <c r="GK62" i="9"/>
  <c r="HB62" i="9"/>
  <c r="HX62" i="9"/>
  <c r="HF62" i="9"/>
  <c r="GJ62" i="9"/>
  <c r="DQ62" i="9"/>
  <c r="HN62" i="9"/>
  <c r="I62" i="9"/>
  <c r="HX64" i="9"/>
  <c r="I64" i="9"/>
  <c r="CY29" i="1"/>
  <c r="X29" i="1" s="1"/>
  <c r="U65" i="9" s="1"/>
  <c r="K64" i="9"/>
  <c r="HF65" i="9"/>
  <c r="I65" i="9"/>
  <c r="HN65" i="9"/>
  <c r="HB65" i="9"/>
  <c r="GY65" i="9"/>
  <c r="HL65" i="9"/>
  <c r="DQ65" i="9"/>
  <c r="DG62" i="9"/>
  <c r="U62" i="9"/>
  <c r="K63" i="9"/>
  <c r="DS63" i="9"/>
  <c r="T63" i="9"/>
  <c r="R68" i="9" s="1"/>
  <c r="H63" i="9"/>
  <c r="AB29" i="1"/>
  <c r="AT43" i="1"/>
  <c r="F61" i="1" s="1"/>
  <c r="F16" i="2" s="1"/>
  <c r="CP29" i="1"/>
  <c r="O29" i="1" s="1"/>
  <c r="GM26" i="1"/>
  <c r="GN26" i="1" s="1"/>
  <c r="DZ43" i="1"/>
  <c r="DM43" i="1" s="1"/>
  <c r="R59" i="9"/>
  <c r="HN55" i="9"/>
  <c r="HX55" i="9"/>
  <c r="I55" i="9"/>
  <c r="HF55" i="9"/>
  <c r="HB55" i="9"/>
  <c r="HL55" i="9"/>
  <c r="GK55" i="9"/>
  <c r="GJ55" i="9"/>
  <c r="DQ55" i="9"/>
  <c r="HF56" i="9"/>
  <c r="I56" i="9"/>
  <c r="HB56" i="9"/>
  <c r="HN56" i="9"/>
  <c r="GY56" i="9"/>
  <c r="HL56" i="9"/>
  <c r="DQ56" i="9"/>
  <c r="HF57" i="9"/>
  <c r="I57" i="9"/>
  <c r="HL57" i="9"/>
  <c r="HB57" i="9"/>
  <c r="HN57" i="9"/>
  <c r="GZ57" i="9"/>
  <c r="DQ57" i="9"/>
  <c r="CP27" i="1"/>
  <c r="O27" i="1" s="1"/>
  <c r="DG55" i="9"/>
  <c r="U55" i="9"/>
  <c r="EL43" i="1"/>
  <c r="CY27" i="1"/>
  <c r="X27" i="1" s="1"/>
  <c r="DN43" i="1"/>
  <c r="DN22" i="1" s="1"/>
  <c r="R52" i="9"/>
  <c r="HN48" i="9"/>
  <c r="HX48" i="9"/>
  <c r="I48" i="9"/>
  <c r="HL48" i="9"/>
  <c r="GK48" i="9"/>
  <c r="DQ48" i="9"/>
  <c r="HF48" i="9"/>
  <c r="GJ48" i="9"/>
  <c r="HB48" i="9"/>
  <c r="HF49" i="9"/>
  <c r="I49" i="9"/>
  <c r="HB49" i="9"/>
  <c r="HL49" i="9"/>
  <c r="HN49" i="9"/>
  <c r="GY49" i="9"/>
  <c r="DQ49" i="9"/>
  <c r="HF50" i="9"/>
  <c r="I50" i="9"/>
  <c r="HB50" i="9"/>
  <c r="HL50" i="9"/>
  <c r="HN50" i="9"/>
  <c r="GZ50" i="9"/>
  <c r="DQ50" i="9"/>
  <c r="K48" i="9"/>
  <c r="DS48" i="9"/>
  <c r="CZ25" i="1"/>
  <c r="Y25" i="1" s="1"/>
  <c r="DW43" i="1"/>
  <c r="BB22" i="1"/>
  <c r="F56" i="1"/>
  <c r="BB73" i="1"/>
  <c r="DF4" i="3"/>
  <c r="DG4" i="3"/>
  <c r="DH4" i="3"/>
  <c r="DI4" i="3"/>
  <c r="DJ4" i="3" s="1"/>
  <c r="DV43" i="1"/>
  <c r="AF43" i="1"/>
  <c r="CY25" i="1"/>
  <c r="X25" i="1" s="1"/>
  <c r="AO22" i="1"/>
  <c r="AO73" i="1"/>
  <c r="F47" i="1"/>
  <c r="FY22" i="1"/>
  <c r="EP43" i="1"/>
  <c r="AQ22" i="1"/>
  <c r="AQ73" i="1"/>
  <c r="F53" i="1"/>
  <c r="FR22" i="1"/>
  <c r="EI43" i="1"/>
  <c r="GM41" i="1"/>
  <c r="GN41" i="1" s="1"/>
  <c r="ET22" i="1"/>
  <c r="ET73" i="1"/>
  <c r="P56" i="1"/>
  <c r="GA43" i="1"/>
  <c r="EU22" i="1"/>
  <c r="P59" i="1"/>
  <c r="EU73" i="1"/>
  <c r="CY38" i="1"/>
  <c r="X38" i="1" s="1"/>
  <c r="AK43" i="1" s="1"/>
  <c r="CP25" i="1"/>
  <c r="O25" i="1" s="1"/>
  <c r="DU43" i="1"/>
  <c r="AJ22" i="1"/>
  <c r="W43" i="1"/>
  <c r="EH22" i="1"/>
  <c r="EH73" i="1"/>
  <c r="P52" i="1"/>
  <c r="V16" i="2" s="1"/>
  <c r="DY22" i="1"/>
  <c r="DL43" i="1"/>
  <c r="DL14" i="8" s="1"/>
  <c r="DI17" i="3"/>
  <c r="DG17" i="3"/>
  <c r="DJ17" i="3" s="1"/>
  <c r="DF17" i="3"/>
  <c r="DH17" i="3"/>
  <c r="AL43" i="1"/>
  <c r="AE43" i="1"/>
  <c r="AI22" i="1"/>
  <c r="V43" i="1"/>
  <c r="FV22" i="1"/>
  <c r="EM43" i="1"/>
  <c r="CZ29" i="1"/>
  <c r="Y29" i="1" s="1"/>
  <c r="U66" i="9" s="1"/>
  <c r="CP36" i="1"/>
  <c r="O36" i="1" s="1"/>
  <c r="GM36" i="1" s="1"/>
  <c r="GN36" i="1" s="1"/>
  <c r="AH22" i="1"/>
  <c r="U43" i="1"/>
  <c r="BD22" i="1"/>
  <c r="F68" i="1"/>
  <c r="BD73" i="1"/>
  <c r="BC18" i="1"/>
  <c r="F89" i="1"/>
  <c r="CP33" i="1"/>
  <c r="O33" i="1" s="1"/>
  <c r="GM33" i="1" s="1"/>
  <c r="GN33" i="1" s="1"/>
  <c r="AP22" i="1"/>
  <c r="F52" i="1"/>
  <c r="G16" i="2" s="1"/>
  <c r="AP73" i="1"/>
  <c r="GN24" i="1"/>
  <c r="EV22" i="1"/>
  <c r="EV73" i="1"/>
  <c r="P68" i="1"/>
  <c r="EG22" i="1"/>
  <c r="EG73" i="1"/>
  <c r="P47" i="1"/>
  <c r="CP40" i="1"/>
  <c r="O40" i="1" s="1"/>
  <c r="GM40" i="1" s="1"/>
  <c r="GN40" i="1" s="1"/>
  <c r="AC43" i="1"/>
  <c r="AX43" i="1"/>
  <c r="CJ22" i="1"/>
  <c r="K89" i="9" l="1"/>
  <c r="Q43" i="1"/>
  <c r="Q73" i="1" s="1"/>
  <c r="AZ43" i="1"/>
  <c r="DO43" i="1"/>
  <c r="DM14" i="8" s="1"/>
  <c r="K122" i="9"/>
  <c r="ES43" i="1"/>
  <c r="ES73" i="1" s="1"/>
  <c r="I134" i="9"/>
  <c r="I122" i="9"/>
  <c r="EW14" i="8"/>
  <c r="I38" i="9"/>
  <c r="FX14" i="8"/>
  <c r="I105" i="9"/>
  <c r="I126" i="9"/>
  <c r="I128" i="9"/>
  <c r="GE14" i="8"/>
  <c r="FC14" i="8"/>
  <c r="FK14" i="8"/>
  <c r="IN14" i="8"/>
  <c r="I136" i="9"/>
  <c r="P100" i="9"/>
  <c r="I160" i="9"/>
  <c r="EZ14" i="8"/>
  <c r="DS88" i="9"/>
  <c r="FE14" i="8"/>
  <c r="I130" i="9"/>
  <c r="I137" i="9"/>
  <c r="FL14" i="8"/>
  <c r="IR14" i="8"/>
  <c r="I163" i="9"/>
  <c r="FB14" i="8"/>
  <c r="K151" i="9"/>
  <c r="DT14" i="8"/>
  <c r="EL73" i="1"/>
  <c r="EL18" i="1" s="1"/>
  <c r="K149" i="9"/>
  <c r="DR14" i="8"/>
  <c r="J39" i="9"/>
  <c r="I39" i="9"/>
  <c r="CW14" i="8"/>
  <c r="ET14" i="8"/>
  <c r="H164" i="9"/>
  <c r="DJ14" i="8"/>
  <c r="K142" i="9"/>
  <c r="K129" i="9"/>
  <c r="DG14" i="8"/>
  <c r="P66" i="1"/>
  <c r="CX14" i="8"/>
  <c r="EU14" i="8"/>
  <c r="H165" i="9"/>
  <c r="AU73" i="1"/>
  <c r="AU18" i="1" s="1"/>
  <c r="GM39" i="1"/>
  <c r="GN39" i="1" s="1"/>
  <c r="K94" i="9"/>
  <c r="S98" i="9"/>
  <c r="J98" i="9" s="1"/>
  <c r="DS94" i="9"/>
  <c r="K93" i="9" s="1"/>
  <c r="GM38" i="1"/>
  <c r="GN38" i="1" s="1"/>
  <c r="CB43" i="1" s="1"/>
  <c r="I93" i="9"/>
  <c r="HA98" i="9"/>
  <c r="H98" i="9"/>
  <c r="DK43" i="1"/>
  <c r="HA91" i="9"/>
  <c r="H91" i="9"/>
  <c r="I85" i="9"/>
  <c r="AU22" i="1"/>
  <c r="K86" i="9"/>
  <c r="S91" i="9"/>
  <c r="J91" i="9" s="1"/>
  <c r="DS86" i="9"/>
  <c r="T43" i="1"/>
  <c r="AT22" i="1"/>
  <c r="DN73" i="1"/>
  <c r="DN18" i="1" s="1"/>
  <c r="H83" i="9"/>
  <c r="HA83" i="9"/>
  <c r="K57" i="9"/>
  <c r="I70" i="9"/>
  <c r="S83" i="9"/>
  <c r="H82" i="9"/>
  <c r="K71" i="9"/>
  <c r="DS71" i="9"/>
  <c r="K70" i="9" s="1"/>
  <c r="J82" i="9"/>
  <c r="T22" i="1"/>
  <c r="DS66" i="9"/>
  <c r="K66" i="9"/>
  <c r="DS65" i="9"/>
  <c r="K65" i="9"/>
  <c r="HA68" i="9"/>
  <c r="H68" i="9"/>
  <c r="DS62" i="9"/>
  <c r="S68" i="9"/>
  <c r="J68" i="9" s="1"/>
  <c r="K62" i="9"/>
  <c r="DZ22" i="1"/>
  <c r="AT73" i="1"/>
  <c r="F91" i="1" s="1"/>
  <c r="HN63" i="9"/>
  <c r="II14" i="8" s="1"/>
  <c r="GL63" i="9"/>
  <c r="I103" i="9" s="1"/>
  <c r="DQ63" i="9"/>
  <c r="I61" i="9" s="1"/>
  <c r="HL63" i="9"/>
  <c r="IH14" i="8" s="1"/>
  <c r="GJ63" i="9"/>
  <c r="EV14" i="8" s="1"/>
  <c r="HF63" i="9"/>
  <c r="HB63" i="9"/>
  <c r="FN14" i="8" s="1"/>
  <c r="I63" i="9"/>
  <c r="EL22" i="1"/>
  <c r="P61" i="1"/>
  <c r="U16" i="2" s="1"/>
  <c r="GM29" i="1"/>
  <c r="GN29" i="1" s="1"/>
  <c r="I47" i="9"/>
  <c r="GM27" i="1"/>
  <c r="GN27" i="1" s="1"/>
  <c r="U56" i="9"/>
  <c r="I54" i="9"/>
  <c r="K55" i="9"/>
  <c r="DS55" i="9"/>
  <c r="HA59" i="9"/>
  <c r="H59" i="9"/>
  <c r="ED43" i="1"/>
  <c r="ED22" i="1" s="1"/>
  <c r="U50" i="9"/>
  <c r="EC43" i="1"/>
  <c r="EC22" i="1" s="1"/>
  <c r="U49" i="9"/>
  <c r="HA52" i="9"/>
  <c r="H52" i="9"/>
  <c r="AK22" i="1"/>
  <c r="X43" i="1"/>
  <c r="AC22" i="1"/>
  <c r="CF43" i="1"/>
  <c r="CE43" i="1"/>
  <c r="P43" i="1"/>
  <c r="CH43" i="1"/>
  <c r="BD18" i="1"/>
  <c r="F98" i="1"/>
  <c r="EH18" i="1"/>
  <c r="P82" i="1"/>
  <c r="AO18" i="1"/>
  <c r="F77" i="1"/>
  <c r="BA22" i="1"/>
  <c r="BA73" i="1"/>
  <c r="F63" i="1"/>
  <c r="H16" i="2" s="1"/>
  <c r="AL22" i="1"/>
  <c r="Y43" i="1"/>
  <c r="DU22" i="1"/>
  <c r="FZ43" i="1"/>
  <c r="FW43" i="1"/>
  <c r="DH43" i="1"/>
  <c r="FX43" i="1"/>
  <c r="GA22" i="1"/>
  <c r="ER43" i="1"/>
  <c r="DV22" i="1"/>
  <c r="DI43" i="1"/>
  <c r="DW22" i="1"/>
  <c r="DJ43" i="1"/>
  <c r="EV18" i="1"/>
  <c r="P98" i="1"/>
  <c r="CA43" i="1"/>
  <c r="DM22" i="1"/>
  <c r="P65" i="1"/>
  <c r="DM73" i="1"/>
  <c r="V22" i="1"/>
  <c r="F66" i="1"/>
  <c r="V73" i="1"/>
  <c r="DL22" i="1"/>
  <c r="P64" i="1"/>
  <c r="DL73" i="1"/>
  <c r="GM25" i="1"/>
  <c r="DT43" i="1"/>
  <c r="EU18" i="1"/>
  <c r="P89" i="1"/>
  <c r="EI22" i="1"/>
  <c r="EI73" i="1"/>
  <c r="P53" i="1"/>
  <c r="EP22" i="1"/>
  <c r="EP73" i="1"/>
  <c r="P50" i="1"/>
  <c r="BB18" i="1"/>
  <c r="F86" i="1"/>
  <c r="AX22" i="1"/>
  <c r="F50" i="1"/>
  <c r="AX73" i="1"/>
  <c r="Q22" i="1"/>
  <c r="F55" i="1"/>
  <c r="EG18" i="1"/>
  <c r="P77" i="1"/>
  <c r="AP18" i="1"/>
  <c r="F82" i="1"/>
  <c r="W22" i="1"/>
  <c r="W73" i="1"/>
  <c r="F67" i="1"/>
  <c r="AB43" i="1"/>
  <c r="ET18" i="1"/>
  <c r="P86" i="1"/>
  <c r="U22" i="1"/>
  <c r="F65" i="1"/>
  <c r="U73" i="1"/>
  <c r="AZ22" i="1"/>
  <c r="F54" i="1"/>
  <c r="AZ73" i="1"/>
  <c r="EM22" i="1"/>
  <c r="P62" i="1"/>
  <c r="EM73" i="1"/>
  <c r="AE22" i="1"/>
  <c r="R43" i="1"/>
  <c r="DO22" i="1"/>
  <c r="DO73" i="1"/>
  <c r="P67" i="1"/>
  <c r="AQ18" i="1"/>
  <c r="F83" i="1"/>
  <c r="AF22" i="1"/>
  <c r="S43" i="1"/>
  <c r="K85" i="9" l="1"/>
  <c r="I148" i="9"/>
  <c r="I153" i="9"/>
  <c r="I155" i="9" s="1"/>
  <c r="I37" i="9" s="1"/>
  <c r="ES18" i="1"/>
  <c r="P93" i="1"/>
  <c r="ES22" i="1"/>
  <c r="DW14" i="8"/>
  <c r="P63" i="1"/>
  <c r="FR14" i="8"/>
  <c r="FM14" i="8"/>
  <c r="I100" i="9"/>
  <c r="I146" i="9"/>
  <c r="GB14" i="8"/>
  <c r="I123" i="9"/>
  <c r="EX14" i="8"/>
  <c r="F92" i="1"/>
  <c r="P91" i="1"/>
  <c r="P96" i="1"/>
  <c r="K160" i="9"/>
  <c r="DC14" i="8"/>
  <c r="DK22" i="1"/>
  <c r="K134" i="9"/>
  <c r="K105" i="9"/>
  <c r="J38" i="9"/>
  <c r="CZ14" i="8"/>
  <c r="K123" i="9"/>
  <c r="DA14" i="8"/>
  <c r="K143" i="9"/>
  <c r="DK14" i="8"/>
  <c r="J83" i="9"/>
  <c r="DB14" i="8"/>
  <c r="K125" i="9"/>
  <c r="W16" i="2"/>
  <c r="P58" i="1"/>
  <c r="DK73" i="1"/>
  <c r="P88" i="1" s="1"/>
  <c r="T73" i="1"/>
  <c r="F64" i="1"/>
  <c r="AT18" i="1"/>
  <c r="K61" i="9"/>
  <c r="DS56" i="9"/>
  <c r="K54" i="9" s="1"/>
  <c r="K56" i="9"/>
  <c r="S59" i="9"/>
  <c r="J59" i="9" s="1"/>
  <c r="DQ43" i="1"/>
  <c r="DP43" i="1"/>
  <c r="DS50" i="9"/>
  <c r="K50" i="9"/>
  <c r="DS49" i="9"/>
  <c r="K49" i="9"/>
  <c r="S52" i="9"/>
  <c r="J52" i="9" s="1"/>
  <c r="EP18" i="1"/>
  <c r="P80" i="1"/>
  <c r="DH22" i="1"/>
  <c r="P46" i="1"/>
  <c r="DH73" i="1"/>
  <c r="DO18" i="1"/>
  <c r="P97" i="1"/>
  <c r="ER22" i="1"/>
  <c r="P54" i="1"/>
  <c r="ER73" i="1"/>
  <c r="CH22" i="1"/>
  <c r="AY43" i="1"/>
  <c r="S22" i="1"/>
  <c r="F58" i="1"/>
  <c r="S73" i="1"/>
  <c r="AZ18" i="1"/>
  <c r="F84" i="1"/>
  <c r="AB22" i="1"/>
  <c r="O43" i="1"/>
  <c r="Q18" i="1"/>
  <c r="F85" i="1"/>
  <c r="CA22" i="1"/>
  <c r="AR43" i="1"/>
  <c r="IK8" i="1" s="1"/>
  <c r="FZ22" i="1"/>
  <c r="EQ43" i="1"/>
  <c r="P22" i="1"/>
  <c r="F46" i="1"/>
  <c r="P73" i="1"/>
  <c r="X22" i="1"/>
  <c r="F69" i="1"/>
  <c r="X73" i="1"/>
  <c r="GN25" i="1"/>
  <c r="FT43" i="1" s="1"/>
  <c r="FS43" i="1"/>
  <c r="V18" i="1"/>
  <c r="F96" i="1"/>
  <c r="Y22" i="1"/>
  <c r="F70" i="1"/>
  <c r="Y73" i="1"/>
  <c r="CF22" i="1"/>
  <c r="AW43" i="1"/>
  <c r="EM18" i="1"/>
  <c r="P92" i="1"/>
  <c r="AX18" i="1"/>
  <c r="F80" i="1"/>
  <c r="DL18" i="1"/>
  <c r="P94" i="1"/>
  <c r="DI22" i="1"/>
  <c r="P55" i="1"/>
  <c r="DI73" i="1"/>
  <c r="FW22" i="1"/>
  <c r="EN43" i="1"/>
  <c r="R22" i="1"/>
  <c r="R73" i="1"/>
  <c r="F57" i="1"/>
  <c r="U18" i="1"/>
  <c r="F95" i="1"/>
  <c r="W18" i="1"/>
  <c r="F97" i="1"/>
  <c r="CB22" i="1"/>
  <c r="AS43" i="1"/>
  <c r="EI18" i="1"/>
  <c r="P83" i="1"/>
  <c r="DT22" i="1"/>
  <c r="DG43" i="1"/>
  <c r="CY14" i="8" s="1"/>
  <c r="DM18" i="1"/>
  <c r="P95" i="1"/>
  <c r="DJ22" i="1"/>
  <c r="DJ73" i="1"/>
  <c r="P57" i="1"/>
  <c r="FX22" i="1"/>
  <c r="EO43" i="1"/>
  <c r="BA18" i="1"/>
  <c r="F93" i="1"/>
  <c r="CE22" i="1"/>
  <c r="AV43" i="1"/>
  <c r="P69" i="1" l="1"/>
  <c r="DN14" i="8"/>
  <c r="K136" i="9"/>
  <c r="DQ73" i="1"/>
  <c r="DQ18" i="1" s="1"/>
  <c r="K137" i="9"/>
  <c r="DO14" i="8"/>
  <c r="Q100" i="9"/>
  <c r="K126" i="9"/>
  <c r="DF14" i="8"/>
  <c r="K128" i="9"/>
  <c r="K163" i="9"/>
  <c r="DE14" i="8"/>
  <c r="K130" i="9"/>
  <c r="DH14" i="8"/>
  <c r="K103" i="9"/>
  <c r="DP22" i="1"/>
  <c r="DK18" i="1"/>
  <c r="Y16" i="2"/>
  <c r="P70" i="1"/>
  <c r="DQ22" i="1"/>
  <c r="T18" i="1"/>
  <c r="F94" i="1"/>
  <c r="K47" i="9"/>
  <c r="DP73" i="1"/>
  <c r="P99" i="1" s="1"/>
  <c r="DJ18" i="1"/>
  <c r="P87" i="1"/>
  <c r="EO22" i="1"/>
  <c r="EO73" i="1"/>
  <c r="P49" i="1"/>
  <c r="R18" i="1"/>
  <c r="F87" i="1"/>
  <c r="DI18" i="1"/>
  <c r="P85" i="1"/>
  <c r="FS22" i="1"/>
  <c r="EJ43" i="1"/>
  <c r="EQ22" i="1"/>
  <c r="P51" i="1"/>
  <c r="EQ73" i="1"/>
  <c r="DG22" i="1"/>
  <c r="DG73" i="1"/>
  <c r="P45" i="1"/>
  <c r="AV22" i="1"/>
  <c r="F48" i="1"/>
  <c r="AV73" i="1"/>
  <c r="AW22" i="1"/>
  <c r="AW73" i="1"/>
  <c r="F49" i="1"/>
  <c r="FT22" i="1"/>
  <c r="EK43" i="1"/>
  <c r="P18" i="1"/>
  <c r="F76" i="1"/>
  <c r="AY22" i="1"/>
  <c r="F51" i="1"/>
  <c r="AY73" i="1"/>
  <c r="AS22" i="1"/>
  <c r="F60" i="1"/>
  <c r="E16" i="2" s="1"/>
  <c r="I16" i="2" s="1"/>
  <c r="N16" i="2" s="1"/>
  <c r="AS73" i="1"/>
  <c r="EN22" i="1"/>
  <c r="EN73" i="1"/>
  <c r="P48" i="1"/>
  <c r="X18" i="1"/>
  <c r="F99" i="1"/>
  <c r="AR22" i="1"/>
  <c r="AR73" i="1"/>
  <c r="F71" i="1"/>
  <c r="O22" i="1"/>
  <c r="O73" i="1"/>
  <c r="F45" i="1"/>
  <c r="S18" i="1"/>
  <c r="F88" i="1"/>
  <c r="DH18" i="1"/>
  <c r="P76" i="1"/>
  <c r="Y18" i="1"/>
  <c r="F100" i="1"/>
  <c r="J16" i="2"/>
  <c r="ER18" i="1"/>
  <c r="P84" i="1"/>
  <c r="DP18" i="1" l="1"/>
  <c r="P100" i="1"/>
  <c r="DU14" i="8"/>
  <c r="DQ14" i="8"/>
  <c r="K153" i="9"/>
  <c r="K155" i="9" s="1"/>
  <c r="K148" i="9"/>
  <c r="K146" i="9"/>
  <c r="K100" i="9"/>
  <c r="DP14" i="8"/>
  <c r="EJ22" i="1"/>
  <c r="EJ73" i="1"/>
  <c r="P71" i="1"/>
  <c r="AR18" i="1"/>
  <c r="F101" i="1"/>
  <c r="AY18" i="1"/>
  <c r="F81" i="1"/>
  <c r="AW18" i="1"/>
  <c r="F79" i="1"/>
  <c r="EQ18" i="1"/>
  <c r="P81" i="1"/>
  <c r="EO18" i="1"/>
  <c r="P79" i="1"/>
  <c r="O18" i="1"/>
  <c r="F75" i="1"/>
  <c r="EN18" i="1"/>
  <c r="P78" i="1"/>
  <c r="AS18" i="1"/>
  <c r="F90" i="1"/>
  <c r="EK22" i="1"/>
  <c r="EK73" i="1"/>
  <c r="P60" i="1"/>
  <c r="T16" i="2" s="1"/>
  <c r="X16" i="2" s="1"/>
  <c r="AC16" i="2" s="1"/>
  <c r="AV18" i="1"/>
  <c r="F78" i="1"/>
  <c r="DG18" i="1"/>
  <c r="P75" i="1"/>
  <c r="K156" i="9" l="1"/>
  <c r="K157" i="9" s="1"/>
  <c r="E26" i="9"/>
  <c r="J37" i="9"/>
  <c r="EK18" i="1"/>
  <c r="P90" i="1"/>
  <c r="EJ18" i="1"/>
  <c r="P1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Полшведкина Анна Николаевна</author>
  </authors>
  <commentList>
    <comment ref="C11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12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13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Полшведкина Анна Николаевна</author>
  </authors>
  <commentList>
    <comment ref="C3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 xr:uid="{00000000-0006-0000-0100-000003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Полшведкина Анна Николаевна</author>
  </authors>
  <commentList>
    <comment ref="C3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 xr:uid="{00000000-0006-0000-0200-000002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 xr:uid="{00000000-0006-0000-0200-000003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Полшведкина Анна Николаевна</author>
  </authors>
  <commentList>
    <comment ref="C7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 xr:uid="{00000000-0006-0000-0300-000003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 xr:uid="{00000000-0006-0000-0300-000004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 xr:uid="{00000000-0006-0000-0300-000005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 xr:uid="{00000000-0006-0000-0300-000006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 xr:uid="{00000000-0006-0000-0300-000007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 xr:uid="{00000000-0006-0000-0300-000008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C11" authorId="0" shapeId="0" xr:uid="{00000000-0006-0000-0300-000009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Привязать к стройке</t>
        </r>
      </text>
    </comment>
    <comment ref="J13" authorId="0" shapeId="0" xr:uid="{00000000-0006-0000-0300-00000A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 xr:uid="{00000000-0006-0000-0300-00000B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 xr:uid="{00000000-0006-0000-0300-00000C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 xr:uid="{00000000-0006-0000-0300-00000D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 xr:uid="{00000000-0006-0000-0300-00000E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 xr:uid="{00000000-0006-0000-0300-00000F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29" authorId="0" shapeId="0" xr:uid="{00000000-0006-0000-0300-000010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Привязать к стройке</t>
        </r>
      </text>
    </comment>
    <comment ref="C100" authorId="0" shapeId="0" xr:uid="{00000000-0006-0000-0300-000011000000}">
      <text>
        <r>
          <rPr>
            <sz val="9"/>
            <color indexed="81"/>
            <rFont val="Tahoma"/>
            <family val="2"/>
            <charset val="204"/>
          </rPr>
          <t>Ремонт лестничных маршей ЛМП 57.11.15-5 ( на 1 лестничный марш)</t>
        </r>
      </text>
    </comment>
    <comment ref="I126" authorId="0" shapeId="0" xr:uid="{00000000-0006-0000-0300-000012000000}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126" authorId="0" shapeId="0" xr:uid="{00000000-0006-0000-0300-000013000000}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131" authorId="0" shapeId="0" xr:uid="{00000000-0006-0000-0300-000014000000}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31" authorId="0" shapeId="0" xr:uid="{00000000-0006-0000-0300-000015000000}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132" authorId="0" shapeId="0" xr:uid="{00000000-0006-0000-0300-000016000000}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32" authorId="0" shapeId="0" xr:uid="{00000000-0006-0000-0300-000017000000}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139" authorId="0" shapeId="0" xr:uid="{00000000-0006-0000-0300-000018000000}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139" authorId="0" shapeId="0" xr:uid="{00000000-0006-0000-0300-000019000000}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144" authorId="0" shapeId="0" xr:uid="{00000000-0006-0000-0300-00001A000000}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44" authorId="0" shapeId="0" xr:uid="{00000000-0006-0000-0300-00001B000000}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C168" authorId="0" shapeId="0" xr:uid="{00000000-0006-0000-0300-00001C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68" authorId="0" shapeId="0" xr:uid="{00000000-0006-0000-0300-00001D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71" authorId="0" shapeId="0" xr:uid="{00000000-0006-0000-0300-00001E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71" authorId="0" shapeId="0" xr:uid="{00000000-0006-0000-0300-00001F000000}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<sst xmlns="http://schemas.openxmlformats.org/spreadsheetml/2006/main" count="2360" uniqueCount="444">
  <si>
    <t>Smeta.RU (Terminal)  (495) 974-1589</t>
  </si>
  <si>
    <t>_PS_</t>
  </si>
  <si>
    <t>Smeta.RU (Terminal)</t>
  </si>
  <si>
    <t/>
  </si>
  <si>
    <t>Новая стройка 1</t>
  </si>
  <si>
    <t>Комплекс из 2-х многоквартирных домов поз.72 и поз.73, расположенных по адресу: Орловский муниципальный округ, д. Образцово, ул. Образцовая, 2. 1-й этап строительства – многоквартирный дом корпус 1 (поз.73)</t>
  </si>
  <si>
    <t>ЛС Ремонт лестничных маршей</t>
  </si>
  <si>
    <t>Заявка №5795 от 27.03.2026г., ТЗ</t>
  </si>
  <si>
    <t>Сметные нормы списания</t>
  </si>
  <si>
    <t>Коды ценников</t>
  </si>
  <si>
    <t>ТЕР Орловская обл. (ред. 2014 г.) (МДС) НОВОЕ СТРОИТЕЛЬСТВО</t>
  </si>
  <si>
    <t>Версия 1.7.3 ГСН (ГЭСН, ФЕР) и ТЕР (Методики НР (812/пр, 636/пр, 611/пр) и СП (774/пр и 317/пр) применять с 08.01.2023 г.)</t>
  </si>
  <si>
    <t>ТСНБ ТЕР-2001 Орловской области (редакция 2014 г. от 2014.10.06)</t>
  </si>
  <si>
    <t>Поправки для базы 2001 года (ред. 2014 года) от 2020.12.02</t>
  </si>
  <si>
    <t>Ремонт лестничных маршей ЛМП 57.11.15-5</t>
  </si>
  <si>
    <t>Ремонт лестничных маршей ЛМП 57.11.15-5 ( на 1 лестничный марш)</t>
  </si>
  <si>
    <t>1</t>
  </si>
  <si>
    <t>62-41-1</t>
  </si>
  <si>
    <t>Очистка бетонной поверхности ремонтируемого изделия от пыли, грязи, брызг раствора и др. загрязнений</t>
  </si>
  <si>
    <t>100 м2 расчищенной поверхности</t>
  </si>
  <si>
    <t>62-41-1 ТЕРр-57 (ред.2014)</t>
  </si>
  <si>
    <t>Ремонтно-строительные работы</t>
  </si>
  <si>
    <t>Малярные работы</t>
  </si>
  <si>
    <t>рФЕР-62</t>
  </si>
  <si>
    <t>Пр/812-096.0-1</t>
  </si>
  <si>
    <t>Пр/774-096.0</t>
  </si>
  <si>
    <t>2</t>
  </si>
  <si>
    <t>13-06-003-1</t>
  </si>
  <si>
    <t>Очистка поверхности арматуры щетками</t>
  </si>
  <si>
    <t>1 м2 очищаемой поверхности</t>
  </si>
  <si>
    <t>13-06-003-1 ТЕР-57 (ред.2014)</t>
  </si>
  <si>
    <t>*1,25</t>
  </si>
  <si>
    <t>*1,15</t>
  </si>
  <si>
    <t>Общестроительные работы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</si>
  <si>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</si>
  <si>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</si>
  <si>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</si>
  <si>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Поправка: М-ка 421/пр 04.08.20 п.58 п.п. б)</t>
  </si>
  <si>
    <t>Пр/812-013.0-1</t>
  </si>
  <si>
    <t>Пр/774-013.0</t>
  </si>
  <si>
    <t>3</t>
  </si>
  <si>
    <t>46-08-003-2</t>
  </si>
  <si>
    <t>Приготовление однокомпонентных составов серии EMACO, EMACO NANOCRETE, EMACO FAST, MASTERSEAL, MASTERFLOW механизированным способом</t>
  </si>
  <si>
    <t>1 м3 готового состава</t>
  </si>
  <si>
    <t>46-08-003-2 ТЕР-57 (ред.2014)</t>
  </si>
  <si>
    <t>Изготовление в построечных условиях материалов, полуфабрикатов, металлических и трубопроводных заготовок</t>
  </si>
  <si>
    <t>приг_ФЕР-46</t>
  </si>
  <si>
    <t>Пр/812-108.0-1</t>
  </si>
  <si>
    <t>Пр/774-108.0</t>
  </si>
  <si>
    <t>Изготовление в построечных условиях материалов, полуфабрикатов, металлических заготовок</t>
  </si>
  <si>
    <t>4</t>
  </si>
  <si>
    <t>46-08-004-3</t>
  </si>
  <si>
    <t>Нанесение тиксотропных составов серии EMACO, EMACO NANOCRETE, EMACO FAST вручную в один слой, толщина слоя 20 мм, на поверхности бетонных и железобетонных конструкций потолочные</t>
  </si>
  <si>
    <t>100 м2 поверхности</t>
  </si>
  <si>
    <t>46-08-004-3 ТЕР-57 (ред.2014)</t>
  </si>
  <si>
    <t>Работы по реконструкции зданий и сооружений</t>
  </si>
  <si>
    <t>Работы по реконструкции зданий и сооружений: усиление и замена существующих конструкций, возведение отдельных конструктивных элементов</t>
  </si>
  <si>
    <t>ФЕР-46</t>
  </si>
  <si>
    <t>Пр/812-040.1-1</t>
  </si>
  <si>
    <t>Пр/774-040.1</t>
  </si>
  <si>
    <t>4,1</t>
  </si>
  <si>
    <t>113-0664</t>
  </si>
  <si>
    <t>Гидроцем-праймер (сухой)</t>
  </si>
  <si>
    <t>кг</t>
  </si>
  <si>
    <t>113-0664 ТССЦ-57 (изд.2014)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</si>
  <si>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</si>
  <si>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</si>
  <si>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</si>
  <si>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[196,2 / 1,22 /  10,88] +  4% Трансп +  2% Заг.скл</t>
  </si>
  <si>
    <t>4,2</t>
  </si>
  <si>
    <t>401-9005</t>
  </si>
  <si>
    <t>Гидроцем ремонтный ( сухой)</t>
  </si>
  <si>
    <t>401-9005 ТССЦ-57 (изд.2014)</t>
  </si>
  <si>
    <t>[85 / 1,22 /  10,88] +  4% Трансп +  2% Заг.скл</t>
  </si>
  <si>
    <t>4,3</t>
  </si>
  <si>
    <t>411-0001</t>
  </si>
  <si>
    <t>Вода</t>
  </si>
  <si>
    <t>м3</t>
  </si>
  <si>
    <t>411-0001 ТССЦ-57 (изд.2014)</t>
  </si>
  <si>
    <t>[14,19 /  10,88] +  4% Трансп +  2% Заг.скл</t>
  </si>
  <si>
    <t>5</t>
  </si>
  <si>
    <t>46-08-004-9</t>
  </si>
  <si>
    <t>На каждые 5 мм изменения толщины слоя добавлять (уменьшать) к расценкам 46-08-004-03, 46-08-004-06</t>
  </si>
  <si>
    <t>46-08-004-9 ТЕР-57 (ред.2014)</t>
  </si>
  <si>
    <t>*3,6</t>
  </si>
  <si>
    <t>6</t>
  </si>
  <si>
    <t>Затирка после высыхания слоя ремонтного состава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</si>
  <si>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</si>
  <si>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</si>
  <si>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</si>
  <si>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</si>
  <si>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</si>
  <si>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</si>
  <si>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</si>
  <si>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</si>
  <si>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</si>
  <si>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</si>
  <si>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</si>
  <si>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</si>
  <si>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</si>
  <si>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</si>
  <si>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</si>
  <si>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</si>
  <si>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</si>
  <si>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</si>
  <si>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</si>
  <si>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</si>
  <si>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</si>
  <si>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</si>
  <si>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</si>
  <si>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</si>
  <si>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</si>
  <si>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</si>
  <si>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</si>
  <si>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</si>
  <si>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</si>
  <si>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</si>
  <si>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</si>
  <si>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</si>
  <si>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</si>
  <si>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</si>
  <si>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</si>
  <si>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</si>
  <si>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</si>
  <si>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</si>
  <si>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</si>
  <si>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</si>
  <si>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</si>
  <si>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</si>
  <si>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</si>
  <si>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</si>
  <si>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</si>
  <si>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</si>
  <si>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</si>
  <si>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</si>
  <si>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</si>
  <si>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</si>
  <si>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</si>
  <si>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</si>
  <si>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</si>
  <si>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</si>
  <si>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</si>
  <si>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</si>
  <si>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</si>
  <si>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</si>
  <si>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</si>
  <si>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</si>
  <si>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</si>
  <si>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</si>
  <si>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</si>
  <si>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</si>
  <si>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</si>
  <si>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</si>
  <si>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</si>
  <si>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</si>
  <si>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</si>
  <si>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</si>
  <si>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</si>
  <si>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</si>
  <si>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</si>
  <si>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</si>
  <si>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</si>
  <si>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</si>
  <si>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</si>
  <si>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</si>
  <si>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</si>
  <si>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</si>
  <si>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</si>
  <si>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</si>
  <si>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</si>
  <si>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</si>
  <si>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</si>
  <si>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</si>
  <si>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</si>
  <si>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</si>
  <si>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</si>
  <si>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</si>
  <si>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</si>
  <si>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</si>
  <si>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</si>
  <si>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</si>
  <si>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</si>
  <si>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</si>
  <si>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</si>
  <si>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</si>
  <si>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</si>
  <si>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</si>
  <si>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</si>
  <si>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</si>
  <si>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</si>
  <si>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</si>
  <si>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</si>
  <si>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</si>
  <si>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</si>
  <si>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</si>
  <si>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</si>
  <si>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</si>
  <si>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</si>
  <si>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</si>
  <si>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</si>
  <si>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</si>
  <si>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</si>
  <si>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</si>
  <si>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</si>
  <si>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</si>
  <si>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Базовый уровень цен</t>
  </si>
  <si>
    <t>I квартал 2026 г.</t>
  </si>
  <si>
    <t>Индексы за итогом</t>
  </si>
  <si>
    <t>_OBSM_</t>
  </si>
  <si>
    <t>1-1020-2014-57</t>
  </si>
  <si>
    <t>Рабочий строитель среднего разряда 2</t>
  </si>
  <si>
    <t>чел.-ч</t>
  </si>
  <si>
    <t>1-1030-2014-57</t>
  </si>
  <si>
    <t>Рабочий строитель среднего разряда 3</t>
  </si>
  <si>
    <t>Затраты труда машинистов</t>
  </si>
  <si>
    <t>чел.час</t>
  </si>
  <si>
    <t>110901</t>
  </si>
  <si>
    <t>110901 ТСЭМ-57 (ред.2014)</t>
  </si>
  <si>
    <t>Растворосмесители передвижные 65 л</t>
  </si>
  <si>
    <t>маш.-ч</t>
  </si>
  <si>
    <t>1-1034-2014-57</t>
  </si>
  <si>
    <t>Рабочий строитель среднего разряда 3,4</t>
  </si>
  <si>
    <t>400001</t>
  </si>
  <si>
    <t>400001 ТСЭМ-57 (ред.2014)</t>
  </si>
  <si>
    <t>Автомобили бортовые, грузоподъемность до 5 т</t>
  </si>
  <si>
    <t>Средство для защиты свежеуложенного бетона MASTERTOP C782</t>
  </si>
  <si>
    <t>л</t>
  </si>
  <si>
    <t>Смесь сухая серии EMACO, EMACO NANOCRETE, EMACO FAST</t>
  </si>
  <si>
    <t>М-ка 421/пр 04.08.20 п.58 п.п. б)</t>
  </si>
  <si>
    <t>Методика 421/пр (О.П.)</t>
  </si>
  <si>
    <t>0</t>
  </si>
  <si>
    <t>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</si>
  <si>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Поправка: М-ка 421/пр 04.08.20 п.58 п.п. б)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</si>
  <si>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</si>
  <si>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</si>
  <si>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</si>
  <si>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</si>
  <si>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Параметры1.xls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</si>
  <si>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</si>
  <si>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</si>
  <si>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</si>
  <si>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</si>
  <si>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</si>
  <si>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</si>
  <si>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</si>
  <si>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</si>
  <si>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</si>
  <si>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- номер последнего сформированного листа</t>
  </si>
  <si>
    <t>Наименование программного продукта: "Мастер сметных расчетов" v11.15, г. Орел, тел. +7 (910) 747-08-01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</si>
  <si>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</si>
  <si>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</si>
  <si>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</si>
  <si>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</si>
  <si>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</si>
  <si>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</si>
  <si>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Инвестор:</t>
  </si>
  <si>
    <t>по ОКПО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</si>
  <si>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</si>
  <si>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</si>
  <si>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</si>
  <si>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</si>
  <si>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</si>
  <si>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</si>
  <si>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ЛС Ремонт лестничных маршей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</si>
  <si>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</si>
  <si>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</si>
  <si>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</si>
  <si>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</si>
  <si>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</si>
  <si>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</si>
  <si>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</si>
  <si>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</si>
  <si>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</si>
  <si>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</si>
  <si>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</si>
  <si>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</si>
  <si>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Составлено в уровне цен : I кв. 2026 г.</t>
  </si>
  <si>
    <t>Наименование и редакция СНБ: ТСНБ ТЕР-2001 Орловской области (редакция 2014 г. от 2014.10.06)</t>
  </si>
  <si>
    <t xml:space="preserve">Сметная (договорная) стоимость в соответствии с договором подряда (субподряда): </t>
  </si>
  <si>
    <t>тыс.руб.</t>
  </si>
  <si>
    <t>Форма № 1б (им.Горностаева В.Е.)</t>
  </si>
  <si>
    <t xml:space="preserve"> ЛС Ремонт лестничных маршей </t>
  </si>
  <si>
    <t>Основание:</t>
  </si>
  <si>
    <t>Базисная цена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</si>
  <si>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</si>
  <si>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</si>
  <si>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</si>
  <si>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</si>
  <si>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</si>
  <si>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</si>
  <si>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>Составлен в базисном уровне цен с пересчетом в текущий уровень цен по состоянию на: I кв. 2026 г.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</si>
  <si>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</si>
  <si>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</si>
  <si>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</si>
  <si>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</si>
  <si>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</si>
  <si>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Единичная расценка,
руб.</t>
  </si>
  <si>
    <t>Поправочные коэффициэнты, нормы НР и СП</t>
  </si>
  <si>
    <t>Цена за единицу,
руб.</t>
  </si>
  <si>
    <t>ВСЕГО,
в базисном уровне цен, руб.</t>
  </si>
  <si>
    <t>Индексы пересчета,
нормы НР и СП</t>
  </si>
  <si>
    <t>ВСЕГО,
в уровне цен                I кв. 2026 г., руб.</t>
  </si>
  <si>
    <t xml:space="preserve">Локальная смета: </t>
  </si>
  <si>
    <t xml:space="preserve"> Ремонт лестничных маршей ЛМП 57.11.15-5</t>
  </si>
  <si>
    <t xml:space="preserve"> Ремонт лестничных маршей ЛМП 57.11.15-5 ( на 1 лестничный марш)</t>
  </si>
  <si>
    <t xml:space="preserve">   ОЗП</t>
  </si>
  <si>
    <t xml:space="preserve">   НР от ФОТ</t>
  </si>
  <si>
    <t>%</t>
  </si>
  <si>
    <t xml:space="preserve">   СП от ФОТ</t>
  </si>
  <si>
    <t xml:space="preserve">   Затраты труда рабочих</t>
  </si>
  <si>
    <t>чел-ч</t>
  </si>
  <si>
    <t xml:space="preserve">   Всего по позиции</t>
  </si>
  <si>
    <r>
      <t>Очистка поверхности арматуры щетками</t>
    </r>
    <r>
      <rPr>
        <sz val="8"/>
        <color rgb="FF0000FF"/>
        <rFont val="Arial"/>
        <family val="2"/>
        <charset val="204"/>
      </rPr>
      <t xml:space="preserve">  (Поправка: М-ка 421/пр 04.08.20 п.58 п.п. б)) </t>
    </r>
  </si>
  <si>
    <t xml:space="preserve">   ЭММ</t>
  </si>
  <si>
    <t xml:space="preserve">   в т.ч. ЗПМ</t>
  </si>
  <si>
    <t>Тек. стоим. =</t>
  </si>
  <si>
    <t xml:space="preserve"> Расчет Тек.цены </t>
  </si>
  <si>
    <t xml:space="preserve">   [196,2 / 1,22 /  10,88] +  4% Трансп +  2% Заг.скл = 15.68 * 10.88 = 170.6</t>
  </si>
  <si>
    <t xml:space="preserve">   [85 / 1,22 /  10,88] +  4% Трансп +  2% Заг.скл = 6.79 * 10.88 = 73.88</t>
  </si>
  <si>
    <t xml:space="preserve">   [14,19 /  10,88] +  4% Трансп +  2% Заг.скл = 1.38 * 10.88 = 15.01</t>
  </si>
  <si>
    <t xml:space="preserve">   Итого Ст.мат. по позиции</t>
  </si>
  <si>
    <t xml:space="preserve">Всего по локальной смете: </t>
  </si>
  <si>
    <t xml:space="preserve">Итого: </t>
  </si>
  <si>
    <t>- базовый итог на Source равен базовому итогу в сформированной смете (1), не равен (0)</t>
  </si>
  <si>
    <t>в том числе:</t>
  </si>
  <si>
    <t>Оплата труда рабочих</t>
  </si>
  <si>
    <t>в том числе (по видам работ):</t>
  </si>
  <si>
    <t>01. ОЗП - Конструкции из кирпича и блоков</t>
  </si>
  <si>
    <t>02. ОЗП - Свайные работы</t>
  </si>
  <si>
    <t>03. ОЗП - Бетонные работы</t>
  </si>
  <si>
    <t>04. ОЗП - Штукатурные работы</t>
  </si>
  <si>
    <t>05. ОЗП - Облицовочные работы</t>
  </si>
  <si>
    <t>06. ОЗП - Плотничные работы</t>
  </si>
  <si>
    <t>07. ОЗП - Кровельные работы</t>
  </si>
  <si>
    <t>08. ОЗП - Монтажные работы</t>
  </si>
  <si>
    <t>09. ОЗП - Малярные работы</t>
  </si>
  <si>
    <t>10. ОЗП - Благоустройство</t>
  </si>
  <si>
    <t>11. ОЗП - Изготовление заготовок</t>
  </si>
  <si>
    <t>12. ОЗП - Монтаж лифтов</t>
  </si>
  <si>
    <t>13. ОЗП - Тех.освидетельствование лифтов</t>
  </si>
  <si>
    <t>14. ОЗП - Пусконаладочные работы</t>
  </si>
  <si>
    <t>15. ОЗП - Остальные виды работ</t>
  </si>
  <si>
    <t>16. ОЗП - Без назначенных индексов</t>
  </si>
  <si>
    <t>Эксплуатация машин и механизмов</t>
  </si>
  <si>
    <t>Оплата труда машинистов</t>
  </si>
  <si>
    <t>Стоимость материальных ресурсов</t>
  </si>
  <si>
    <t>Стоимость материальных ресурсов без учета доп. перевозки</t>
  </si>
  <si>
    <t>Стоимость материальных ресурсов Заказчика</t>
  </si>
  <si>
    <t>Стоимость материальных ресурсов Подрядчика</t>
  </si>
  <si>
    <t>Доп. перевозка материальных ресурсов</t>
  </si>
  <si>
    <t>Перевозка (за исключением доп. перевозки)</t>
  </si>
  <si>
    <t>ФОТ (справочно)</t>
  </si>
  <si>
    <t>Накладные расходы (НР)</t>
  </si>
  <si>
    <t>Сметная прибыль (СП)</t>
  </si>
  <si>
    <t>Стоимость оборудования</t>
  </si>
  <si>
    <t>Стоимость оборудования без учета доп. перевозки</t>
  </si>
  <si>
    <t>Стоимость оборудования Заказчика</t>
  </si>
  <si>
    <t>Стоимость оборудования Подрядчика</t>
  </si>
  <si>
    <t>Доп. перевозка оборудования</t>
  </si>
  <si>
    <t xml:space="preserve">Итого с НР и СП </t>
  </si>
  <si>
    <t>в том числе (работы и затраты):</t>
  </si>
  <si>
    <t>Строительные работы</t>
  </si>
  <si>
    <t>Монтажные работы</t>
  </si>
  <si>
    <t>Оборудование</t>
  </si>
  <si>
    <t>Строительно-монтажные работы (СМР)</t>
  </si>
  <si>
    <t>НДС</t>
  </si>
  <si>
    <t>Всего с НДС</t>
  </si>
  <si>
    <t>Справочно:</t>
  </si>
  <si>
    <t>Стоимость материальных ресурсов и оборудования (всего)</t>
  </si>
  <si>
    <t>Стоимость материальных ресурсов и оборудования Заказчика</t>
  </si>
  <si>
    <t>Стоимость материальных ресурсов и оборудования Подрядчика</t>
  </si>
  <si>
    <t>Трудозатраты рабочих</t>
  </si>
  <si>
    <t>Сдал:</t>
  </si>
  <si>
    <t>[должность] / [подпись]</t>
  </si>
  <si>
    <t>[расшифровка подписи]</t>
  </si>
  <si>
    <t>М.П.</t>
  </si>
  <si>
    <t>Принял:</t>
  </si>
  <si>
    <t>Исполнил:</t>
  </si>
  <si>
    <t>Главный инженер-сметчик СРС ООО "ОДСК-Инжиниринг"</t>
  </si>
  <si>
    <t>Полшведкина А.Н.</t>
  </si>
  <si>
    <t>Конец</t>
  </si>
  <si>
    <t>- уровень цен, использованный последний раз (1 - базовый / 2 - текущий)</t>
  </si>
  <si>
    <t>РАСЧЕТ СТОИМОСТИ</t>
  </si>
  <si>
    <t>материалов</t>
  </si>
  <si>
    <t>№</t>
  </si>
  <si>
    <t>п/п</t>
  </si>
  <si>
    <t>Обосно-</t>
  </si>
  <si>
    <t>вание</t>
  </si>
  <si>
    <t>норматива</t>
  </si>
  <si>
    <t>Наименование</t>
  </si>
  <si>
    <t>материала</t>
  </si>
  <si>
    <t>Единица</t>
  </si>
  <si>
    <t>измере-</t>
  </si>
  <si>
    <t>ния</t>
  </si>
  <si>
    <t>Коли-</t>
  </si>
  <si>
    <t>чество</t>
  </si>
  <si>
    <t>Цена,</t>
  </si>
  <si>
    <t>руб.</t>
  </si>
  <si>
    <t>Стои-</t>
  </si>
  <si>
    <t>мость</t>
  </si>
  <si>
    <t>Расчет цены ресурса,</t>
  </si>
  <si>
    <t>наименование поставщика материала,</t>
  </si>
  <si>
    <t>наименование прайса и номер строки в прайсе</t>
  </si>
  <si>
    <t>Материалы Подрядчика (неучтенные в расценках)</t>
  </si>
  <si>
    <t xml:space="preserve">Сметная цена в Текущем уровне (расчет)                                                                                                  ( [196,2 / 1,22 /  10,88] +  4% Трансп +  2% Заг.скл = 15.68 * 10.88 = 170.6 ) </t>
  </si>
  <si>
    <t>Без НДС</t>
  </si>
  <si>
    <t xml:space="preserve">Сметная цена в Текущем уровне (расчет)                                                                                                  ( [85 / 1,22 /  10,88] +  4% Трансп +  2% Заг.скл = 6.79 * 10.88 = 73.88 ) </t>
  </si>
  <si>
    <t xml:space="preserve">Сметная цена в Текущем уровне (расчет)                                                                                                  ( [14,19 /  10,88] +  4% Трансп +  2% Заг.скл = 1.38 * 10.88 = 15.01 ) </t>
  </si>
  <si>
    <t>Итого</t>
  </si>
  <si>
    <t>- стоимость материалов (последний расчет)</t>
  </si>
  <si>
    <t>РЕСУРСНЫЙ РАСЧЕТ</t>
  </si>
  <si>
    <t>ресурсов</t>
  </si>
  <si>
    <t>Трудовые ресурсы</t>
  </si>
  <si>
    <t xml:space="preserve">Сметная цена в Текущем уровне (расчет)                                                                                                  ( 7.87 * 36.99 = 291.11 ) </t>
  </si>
  <si>
    <t xml:space="preserve">Сметная цена в Текущем уровне (расчет)                                                                                                  ( 8.6 * 36.99 = 318.11 ) </t>
  </si>
  <si>
    <t>Сметная цена = 0 (не задана)</t>
  </si>
  <si>
    <t xml:space="preserve">Сметная цена в Текущем уровне (расчет)                                                                                                  ( 9.04 * 36.99 = 334.39 ) </t>
  </si>
  <si>
    <t>Машины</t>
  </si>
  <si>
    <t xml:space="preserve">Сметная цена в Текущем уровне (расчет)                                                                                                  ( 12.43 * 13.51 = 167.93 ) </t>
  </si>
  <si>
    <t xml:space="preserve">Сметная цена в Текущем уровне (расчет)                                                                                                  ( 93.37 * 13.51 = 1261.43 ) </t>
  </si>
  <si>
    <t>Материалы Подрядчика</t>
  </si>
  <si>
    <t>В том числе:</t>
  </si>
  <si>
    <t>Материальные ресурсы</t>
  </si>
  <si>
    <t>" У Т В Е Р Ж Д А Ю "</t>
  </si>
  <si>
    <t>__________________________</t>
  </si>
  <si>
    <t>"_____"_____________ _____г.</t>
  </si>
  <si>
    <t>ВЕДОМОСТЬ СПИСАНИЯ</t>
  </si>
  <si>
    <t>материалов и оборудования</t>
  </si>
  <si>
    <t>работ и ресурсов</t>
  </si>
  <si>
    <t>Объем</t>
  </si>
  <si>
    <t xml:space="preserve">работ </t>
  </si>
  <si>
    <t>Расход ресурсов</t>
  </si>
  <si>
    <t>на</t>
  </si>
  <si>
    <t>единицу</t>
  </si>
  <si>
    <t>по норме</t>
  </si>
  <si>
    <t>по факту</t>
  </si>
  <si>
    <t>Пере-</t>
  </si>
  <si>
    <t>расход</t>
  </si>
  <si>
    <t>Экономия</t>
  </si>
  <si>
    <t>Списать на</t>
  </si>
  <si>
    <t>себесто-</t>
  </si>
  <si>
    <t>имость</t>
  </si>
  <si>
    <t>Смета: Ремонт лестничных маршей ЛМП 57.11.15-5 ( на 1 лестничный марш)</t>
  </si>
  <si>
    <t>ЛОКАЛЬНАЯ СМЕТА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</si>
</sst>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sz val="7"/>
      <color rgb="FF0000FF"/>
      <name val="Arial"/>
      <family val="2"/>
      <charset val="204"/>
    </font>
    <font>
      <b/>
      <sz val="9"/>
      <name val="Arial"/>
      <family val="2"/>
      <charset val="204"/>
    </font>
    <font>
      <sz val="9"/>
      <color rgb="FF800000"/>
      <name val="Arial"/>
      <family val="2"/>
      <charset val="204"/>
    </font>
    <font>
      <sz val="9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color rgb="FF0000FF"/>
      <name val="Arial"/>
      <family val="2"/>
      <charset val="204"/>
    </font>
    <font>
      <sz val="10"/>
      <color rgb="FF008000"/>
      <name val="Arial"/>
      <family val="2"/>
      <charset val="204"/>
    </font>
    <font>
      <sz val="8"/>
      <color rgb="FF008000"/>
      <name val="Arial"/>
      <family val="2"/>
      <charset val="204"/>
    </font>
    <font>
      <sz val="9"/>
      <color rgb="FF008000"/>
      <name val="Arial"/>
      <family val="2"/>
      <charset val="204"/>
    </font>
    <font>
      <b/>
      <sz val="9"/>
      <color rgb="FF008000"/>
      <name val="Arial"/>
      <family val="2"/>
      <charset val="204"/>
    </font>
    <font>
      <sz val="10"/>
      <color rgb="FF000080"/>
      <name val="Arial"/>
      <family val="2"/>
      <charset val="204"/>
    </font>
    <font>
      <i/>
      <sz val="10"/>
      <color rgb="FF000080"/>
      <name val="Arial"/>
      <family val="2"/>
      <charset val="204"/>
    </font>
    <font>
      <sz val="10"/>
      <color rgb="FF800000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FF"/>
      <name val="Arial"/>
      <family val="2"/>
      <charset val="204"/>
    </font>
    <font>
      <i/>
      <sz val="10"/>
      <color rgb="FFFF00FF"/>
      <name val="Arial"/>
      <family val="2"/>
      <charset val="204"/>
    </font>
    <font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9"/>
      <color rgb="FFFFFFFF"/>
      <name val="Arial"/>
      <family val="2"/>
      <charset val="204"/>
    </font>
    <font>
      <sz val="9"/>
      <color rgb="FFFF00FF"/>
      <name val="Arial"/>
      <family val="2"/>
      <charset val="204"/>
    </font>
    <font>
      <b/>
      <i/>
      <u/>
      <sz val="11"/>
      <color rgb="FF00408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rgb="FF8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16" fillId="0" borderId="0" xfId="0" applyFont="1"/>
    <xf numFmtId="0" fontId="10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wrapText="1"/>
    </xf>
    <xf numFmtId="49" fontId="17" fillId="0" borderId="0" xfId="0" applyNumberFormat="1" applyFont="1" applyAlignment="1">
      <alignment wrapText="1"/>
    </xf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49" fontId="12" fillId="0" borderId="0" xfId="0" applyNumberFormat="1" applyFont="1" applyAlignment="1">
      <alignment wrapText="1"/>
    </xf>
    <xf numFmtId="14" fontId="0" fillId="0" borderId="0" xfId="0" applyNumberFormat="1"/>
    <xf numFmtId="0" fontId="0" fillId="0" borderId="2" xfId="0" applyBorder="1"/>
    <xf numFmtId="0" fontId="0" fillId="0" borderId="6" xfId="0" applyBorder="1"/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0" applyFont="1"/>
    <xf numFmtId="49" fontId="14" fillId="0" borderId="12" xfId="0" applyNumberFormat="1" applyFont="1" applyBorder="1" applyAlignment="1">
      <alignment horizontal="center" vertical="center"/>
    </xf>
    <xf numFmtId="14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wrapText="1"/>
    </xf>
    <xf numFmtId="49" fontId="21" fillId="0" borderId="0" xfId="0" applyNumberFormat="1" applyFont="1" applyAlignment="1">
      <alignment wrapText="1"/>
    </xf>
    <xf numFmtId="0" fontId="18" fillId="0" borderId="0" xfId="0" applyFont="1" applyAlignment="1">
      <alignment horizontal="right" shrinkToFit="1"/>
    </xf>
    <xf numFmtId="4" fontId="12" fillId="0" borderId="0" xfId="0" applyNumberFormat="1" applyFont="1" applyAlignment="1">
      <alignment horizontal="right" shrinkToFit="1"/>
    </xf>
    <xf numFmtId="4" fontId="11" fillId="0" borderId="0" xfId="0" applyNumberFormat="1" applyFont="1" applyAlignment="1">
      <alignment horizontal="right" shrinkToFit="1"/>
    </xf>
    <xf numFmtId="0" fontId="21" fillId="0" borderId="17" xfId="0" applyFont="1" applyBorder="1" applyAlignment="1">
      <alignment horizontal="center" wrapText="1"/>
    </xf>
    <xf numFmtId="0" fontId="1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right" wrapText="1"/>
    </xf>
    <xf numFmtId="0" fontId="21" fillId="0" borderId="23" xfId="0" applyFont="1" applyBorder="1" applyAlignment="1">
      <alignment horizontal="right" shrinkToFit="1"/>
    </xf>
    <xf numFmtId="4" fontId="21" fillId="0" borderId="23" xfId="0" applyNumberFormat="1" applyFont="1" applyBorder="1" applyAlignment="1">
      <alignment horizontal="right" shrinkToFit="1"/>
    </xf>
    <xf numFmtId="3" fontId="24" fillId="0" borderId="23" xfId="0" applyNumberFormat="1" applyFont="1" applyBorder="1" applyAlignment="1">
      <alignment horizontal="right" shrinkToFit="1"/>
    </xf>
    <xf numFmtId="0" fontId="25" fillId="0" borderId="23" xfId="0" applyFont="1" applyBorder="1" applyAlignment="1">
      <alignment horizontal="right" shrinkToFit="1"/>
    </xf>
    <xf numFmtId="3" fontId="24" fillId="0" borderId="25" xfId="0" applyNumberFormat="1" applyFont="1" applyBorder="1" applyAlignment="1">
      <alignment horizontal="right" shrinkToFit="1"/>
    </xf>
    <xf numFmtId="49" fontId="11" fillId="0" borderId="23" xfId="0" applyNumberFormat="1" applyFont="1" applyBorder="1" applyAlignment="1">
      <alignment horizontal="left" vertical="top" wrapText="1"/>
    </xf>
    <xf numFmtId="49" fontId="23" fillId="0" borderId="23" xfId="0" applyNumberFormat="1" applyFont="1" applyBorder="1" applyAlignment="1">
      <alignment horizontal="left" vertical="top" wrapText="1" shrinkToFit="1"/>
    </xf>
    <xf numFmtId="0" fontId="0" fillId="0" borderId="10" xfId="0" applyBorder="1"/>
    <xf numFmtId="0" fontId="0" fillId="0" borderId="26" xfId="0" applyBorder="1"/>
    <xf numFmtId="0" fontId="0" fillId="0" borderId="27" xfId="0" applyBorder="1"/>
    <xf numFmtId="0" fontId="11" fillId="0" borderId="26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right" wrapText="1"/>
    </xf>
    <xf numFmtId="0" fontId="21" fillId="0" borderId="10" xfId="0" applyFont="1" applyBorder="1" applyAlignment="1">
      <alignment horizontal="right" shrinkToFit="1"/>
    </xf>
    <xf numFmtId="4" fontId="21" fillId="0" borderId="10" xfId="0" applyNumberFormat="1" applyFont="1" applyBorder="1" applyAlignment="1">
      <alignment horizontal="right" shrinkToFit="1"/>
    </xf>
    <xf numFmtId="0" fontId="26" fillId="0" borderId="10" xfId="0" applyFont="1" applyBorder="1" applyAlignment="1">
      <alignment horizontal="left" shrinkToFit="1"/>
    </xf>
    <xf numFmtId="3" fontId="21" fillId="0" borderId="10" xfId="0" applyNumberFormat="1" applyFont="1" applyBorder="1" applyAlignment="1">
      <alignment horizontal="right" shrinkToFit="1"/>
    </xf>
    <xf numFmtId="0" fontId="25" fillId="0" borderId="10" xfId="0" applyFont="1" applyBorder="1" applyAlignment="1">
      <alignment horizontal="right" shrinkToFit="1"/>
    </xf>
    <xf numFmtId="3" fontId="21" fillId="0" borderId="27" xfId="0" applyNumberFormat="1" applyFont="1" applyBorder="1" applyAlignment="1">
      <alignment horizontal="right" shrinkToFit="1"/>
    </xf>
    <xf numFmtId="4" fontId="0" fillId="0" borderId="0" xfId="0" applyNumberFormat="1"/>
    <xf numFmtId="0" fontId="0" fillId="0" borderId="28" xfId="0" applyBorder="1"/>
    <xf numFmtId="0" fontId="0" fillId="0" borderId="15" xfId="0" applyBorder="1"/>
    <xf numFmtId="0" fontId="11" fillId="0" borderId="15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right" wrapText="1"/>
    </xf>
    <xf numFmtId="0" fontId="21" fillId="0" borderId="28" xfId="0" applyFont="1" applyBorder="1" applyAlignment="1">
      <alignment horizontal="right" shrinkToFit="1"/>
    </xf>
    <xf numFmtId="0" fontId="26" fillId="0" borderId="28" xfId="0" applyFont="1" applyBorder="1" applyAlignment="1">
      <alignment horizontal="left" shrinkToFit="1"/>
    </xf>
    <xf numFmtId="4" fontId="21" fillId="0" borderId="28" xfId="0" applyNumberFormat="1" applyFont="1" applyBorder="1" applyAlignment="1">
      <alignment horizontal="right" shrinkToFit="1"/>
    </xf>
    <xf numFmtId="3" fontId="21" fillId="0" borderId="28" xfId="0" applyNumberFormat="1" applyFont="1" applyBorder="1" applyAlignment="1">
      <alignment horizontal="right" shrinkToFit="1"/>
    </xf>
    <xf numFmtId="0" fontId="27" fillId="0" borderId="15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right" wrapText="1"/>
    </xf>
    <xf numFmtId="0" fontId="28" fillId="0" borderId="28" xfId="0" applyFont="1" applyBorder="1" applyAlignment="1">
      <alignment horizontal="right" shrinkToFit="1"/>
    </xf>
    <xf numFmtId="4" fontId="28" fillId="0" borderId="28" xfId="0" applyNumberFormat="1" applyFont="1" applyBorder="1" applyAlignment="1">
      <alignment horizontal="left" shrinkToFit="1"/>
    </xf>
    <xf numFmtId="0" fontId="28" fillId="0" borderId="28" xfId="0" applyFont="1" applyBorder="1" applyAlignment="1">
      <alignment horizontal="left" shrinkToFit="1"/>
    </xf>
    <xf numFmtId="4" fontId="28" fillId="0" borderId="28" xfId="0" applyNumberFormat="1" applyFont="1" applyBorder="1" applyAlignment="1">
      <alignment horizontal="right" shrinkToFit="1"/>
    </xf>
    <xf numFmtId="3" fontId="28" fillId="0" borderId="28" xfId="0" applyNumberFormat="1" applyFont="1" applyBorder="1" applyAlignment="1">
      <alignment horizontal="right" shrinkToFit="1"/>
    </xf>
    <xf numFmtId="3" fontId="28" fillId="0" borderId="29" xfId="0" applyNumberFormat="1" applyFont="1" applyBorder="1" applyAlignment="1">
      <alignment horizontal="right" shrinkToFit="1"/>
    </xf>
    <xf numFmtId="9" fontId="28" fillId="0" borderId="28" xfId="0" applyNumberFormat="1" applyFont="1" applyBorder="1" applyAlignment="1">
      <alignment horizontal="right" shrinkToFit="1"/>
    </xf>
    <xf numFmtId="0" fontId="25" fillId="0" borderId="28" xfId="0" applyFont="1" applyBorder="1" applyAlignment="1">
      <alignment horizontal="right" shrinkToFit="1"/>
    </xf>
    <xf numFmtId="3" fontId="21" fillId="0" borderId="29" xfId="0" applyNumberFormat="1" applyFont="1" applyBorder="1" applyAlignment="1">
      <alignment horizontal="right" shrinkToFit="1"/>
    </xf>
    <xf numFmtId="4" fontId="11" fillId="0" borderId="28" xfId="0" applyNumberFormat="1" applyFont="1" applyBorder="1" applyAlignment="1">
      <alignment horizontal="right" vertical="top" shrinkToFit="1"/>
    </xf>
    <xf numFmtId="0" fontId="17" fillId="0" borderId="28" xfId="0" applyFont="1" applyBorder="1" applyAlignment="1">
      <alignment vertical="top" shrinkToFit="1"/>
    </xf>
    <xf numFmtId="0" fontId="17" fillId="0" borderId="15" xfId="0" applyFont="1" applyBorder="1" applyAlignment="1">
      <alignment vertical="top" shrinkToFit="1"/>
    </xf>
    <xf numFmtId="0" fontId="11" fillId="0" borderId="16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right" wrapText="1"/>
    </xf>
    <xf numFmtId="0" fontId="21" fillId="0" borderId="30" xfId="0" applyFont="1" applyBorder="1" applyAlignment="1">
      <alignment horizontal="right" shrinkToFit="1"/>
    </xf>
    <xf numFmtId="4" fontId="21" fillId="0" borderId="30" xfId="0" applyNumberFormat="1" applyFont="1" applyBorder="1" applyAlignment="1">
      <alignment horizontal="right" shrinkToFit="1"/>
    </xf>
    <xf numFmtId="0" fontId="26" fillId="0" borderId="30" xfId="0" applyFont="1" applyBorder="1" applyAlignment="1">
      <alignment horizontal="left" shrinkToFit="1"/>
    </xf>
    <xf numFmtId="4" fontId="11" fillId="0" borderId="30" xfId="0" applyNumberFormat="1" applyFont="1" applyBorder="1" applyAlignment="1">
      <alignment horizontal="right" vertical="top" shrinkToFit="1"/>
    </xf>
    <xf numFmtId="0" fontId="25" fillId="0" borderId="30" xfId="0" applyFont="1" applyBorder="1" applyAlignment="1">
      <alignment horizontal="right" shrinkToFit="1"/>
    </xf>
    <xf numFmtId="3" fontId="21" fillId="0" borderId="31" xfId="0" applyNumberFormat="1" applyFont="1" applyBorder="1" applyAlignment="1">
      <alignment horizontal="right" shrinkToFit="1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1" fillId="0" borderId="34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right" wrapText="1"/>
    </xf>
    <xf numFmtId="0" fontId="21" fillId="0" borderId="6" xfId="0" applyFont="1" applyBorder="1" applyAlignment="1">
      <alignment horizontal="right" shrinkToFit="1"/>
    </xf>
    <xf numFmtId="4" fontId="21" fillId="0" borderId="6" xfId="0" applyNumberFormat="1" applyFont="1" applyBorder="1" applyAlignment="1">
      <alignment horizontal="right" shrinkToFit="1"/>
    </xf>
    <xf numFmtId="3" fontId="24" fillId="0" borderId="6" xfId="0" applyNumberFormat="1" applyFont="1" applyBorder="1" applyAlignment="1">
      <alignment horizontal="right" shrinkToFit="1"/>
    </xf>
    <xf numFmtId="0" fontId="25" fillId="0" borderId="6" xfId="0" applyFont="1" applyBorder="1" applyAlignment="1">
      <alignment horizontal="right" shrinkToFit="1"/>
    </xf>
    <xf numFmtId="3" fontId="24" fillId="0" borderId="35" xfId="0" applyNumberFormat="1" applyFont="1" applyBorder="1" applyAlignment="1">
      <alignment horizontal="right" shrinkToFit="1"/>
    </xf>
    <xf numFmtId="49" fontId="11" fillId="0" borderId="6" xfId="0" applyNumberFormat="1" applyFont="1" applyBorder="1" applyAlignment="1">
      <alignment horizontal="left" vertical="top" wrapText="1"/>
    </xf>
    <xf numFmtId="49" fontId="23" fillId="0" borderId="6" xfId="0" applyNumberFormat="1" applyFont="1" applyBorder="1" applyAlignment="1">
      <alignment horizontal="left" vertical="top" wrapText="1" shrinkToFit="1"/>
    </xf>
    <xf numFmtId="0" fontId="31" fillId="0" borderId="34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right" wrapText="1"/>
    </xf>
    <xf numFmtId="0" fontId="32" fillId="0" borderId="6" xfId="0" applyFont="1" applyBorder="1" applyAlignment="1">
      <alignment horizontal="right" shrinkToFit="1"/>
    </xf>
    <xf numFmtId="4" fontId="32" fillId="0" borderId="6" xfId="0" applyNumberFormat="1" applyFont="1" applyBorder="1" applyAlignment="1">
      <alignment horizontal="right" shrinkToFit="1"/>
    </xf>
    <xf numFmtId="0" fontId="26" fillId="0" borderId="6" xfId="0" applyFont="1" applyBorder="1" applyAlignment="1">
      <alignment horizontal="left" shrinkToFit="1"/>
    </xf>
    <xf numFmtId="3" fontId="32" fillId="0" borderId="6" xfId="0" applyNumberFormat="1" applyFont="1" applyBorder="1" applyAlignment="1">
      <alignment horizontal="right" shrinkToFit="1"/>
    </xf>
    <xf numFmtId="3" fontId="32" fillId="0" borderId="35" xfId="0" applyNumberFormat="1" applyFont="1" applyBorder="1" applyAlignment="1">
      <alignment horizontal="right" shrinkToFit="1"/>
    </xf>
    <xf numFmtId="49" fontId="31" fillId="0" borderId="6" xfId="0" applyNumberFormat="1" applyFont="1" applyBorder="1" applyAlignment="1">
      <alignment horizontal="left" vertical="top" wrapText="1"/>
    </xf>
    <xf numFmtId="4" fontId="2" fillId="0" borderId="0" xfId="0" applyNumberFormat="1" applyFont="1"/>
    <xf numFmtId="0" fontId="29" fillId="0" borderId="10" xfId="0" applyFont="1" applyBorder="1" applyAlignment="1">
      <alignment horizontal="left" vertical="top"/>
    </xf>
    <xf numFmtId="0" fontId="30" fillId="0" borderId="0" xfId="0" applyFont="1"/>
    <xf numFmtId="0" fontId="29" fillId="0" borderId="6" xfId="0" applyFont="1" applyBorder="1" applyAlignment="1">
      <alignment horizontal="left" vertical="top"/>
    </xf>
    <xf numFmtId="0" fontId="31" fillId="0" borderId="26" xfId="0" applyFont="1" applyBorder="1" applyAlignment="1">
      <alignment horizontal="left" vertical="top" wrapText="1"/>
    </xf>
    <xf numFmtId="49" fontId="31" fillId="0" borderId="10" xfId="0" applyNumberFormat="1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right" wrapText="1"/>
    </xf>
    <xf numFmtId="0" fontId="32" fillId="0" borderId="10" xfId="0" applyFont="1" applyBorder="1" applyAlignment="1">
      <alignment horizontal="right" shrinkToFit="1"/>
    </xf>
    <xf numFmtId="4" fontId="32" fillId="0" borderId="10" xfId="0" applyNumberFormat="1" applyFont="1" applyBorder="1" applyAlignment="1">
      <alignment horizontal="right" shrinkToFit="1"/>
    </xf>
    <xf numFmtId="3" fontId="32" fillId="0" borderId="10" xfId="0" applyNumberFormat="1" applyFont="1" applyBorder="1" applyAlignment="1">
      <alignment horizontal="right" shrinkToFit="1"/>
    </xf>
    <xf numFmtId="3" fontId="32" fillId="0" borderId="27" xfId="0" applyNumberFormat="1" applyFont="1" applyBorder="1" applyAlignment="1">
      <alignment horizontal="right" shrinkToFit="1"/>
    </xf>
    <xf numFmtId="0" fontId="33" fillId="0" borderId="36" xfId="0" applyFont="1" applyBorder="1" applyAlignment="1">
      <alignment vertical="top" shrinkToFit="1"/>
    </xf>
    <xf numFmtId="0" fontId="33" fillId="0" borderId="37" xfId="0" applyFont="1" applyBorder="1" applyAlignment="1">
      <alignment vertical="top" shrinkToFit="1"/>
    </xf>
    <xf numFmtId="3" fontId="0" fillId="0" borderId="0" xfId="0" applyNumberFormat="1"/>
    <xf numFmtId="0" fontId="0" fillId="0" borderId="19" xfId="0" applyBorder="1" applyAlignment="1">
      <alignment shrinkToFit="1"/>
    </xf>
    <xf numFmtId="0" fontId="17" fillId="0" borderId="19" xfId="0" applyFont="1" applyBorder="1" applyAlignment="1">
      <alignment shrinkToFit="1"/>
    </xf>
    <xf numFmtId="3" fontId="17" fillId="0" borderId="19" xfId="0" applyNumberFormat="1" applyFont="1" applyBorder="1" applyAlignment="1">
      <alignment shrinkToFit="1"/>
    </xf>
    <xf numFmtId="0" fontId="34" fillId="0" borderId="0" xfId="0" applyFont="1"/>
    <xf numFmtId="0" fontId="35" fillId="0" borderId="0" xfId="0" applyFont="1"/>
    <xf numFmtId="3" fontId="10" fillId="0" borderId="0" xfId="0" applyNumberFormat="1" applyFont="1" applyAlignment="1">
      <alignment shrinkToFit="1"/>
    </xf>
    <xf numFmtId="0" fontId="35" fillId="0" borderId="0" xfId="0" applyFont="1" applyAlignment="1">
      <alignment horizontal="left" indent="1"/>
    </xf>
    <xf numFmtId="0" fontId="36" fillId="0" borderId="0" xfId="0" applyFont="1"/>
    <xf numFmtId="0" fontId="36" fillId="0" borderId="0" xfId="0" applyFont="1" applyAlignment="1">
      <alignment horizontal="left" indent="2"/>
    </xf>
    <xf numFmtId="3" fontId="36" fillId="0" borderId="0" xfId="0" applyNumberFormat="1" applyFont="1" applyAlignment="1">
      <alignment shrinkToFit="1"/>
    </xf>
    <xf numFmtId="0" fontId="35" fillId="0" borderId="0" xfId="0" applyFont="1" applyAlignment="1">
      <alignment horizontal="left" indent="3"/>
    </xf>
    <xf numFmtId="0" fontId="36" fillId="0" borderId="0" xfId="0" applyFont="1" applyAlignment="1">
      <alignment horizontal="left" indent="4"/>
    </xf>
    <xf numFmtId="0" fontId="37" fillId="0" borderId="0" xfId="0" applyFont="1"/>
    <xf numFmtId="0" fontId="37" fillId="0" borderId="0" xfId="0" applyFont="1" applyAlignment="1">
      <alignment horizontal="left" indent="2"/>
    </xf>
    <xf numFmtId="3" fontId="37" fillId="0" borderId="0" xfId="0" applyNumberFormat="1" applyFont="1" applyAlignment="1">
      <alignment shrinkToFit="1"/>
    </xf>
    <xf numFmtId="0" fontId="37" fillId="0" borderId="0" xfId="0" applyFont="1" applyAlignment="1">
      <alignment horizontal="left" indent="4"/>
    </xf>
    <xf numFmtId="0" fontId="30" fillId="0" borderId="0" xfId="0" applyFont="1" applyAlignment="1">
      <alignment horizontal="left" indent="2"/>
    </xf>
    <xf numFmtId="3" fontId="30" fillId="0" borderId="0" xfId="0" applyNumberFormat="1" applyFont="1" applyAlignment="1">
      <alignment shrinkToFit="1"/>
    </xf>
    <xf numFmtId="0" fontId="30" fillId="0" borderId="0" xfId="0" applyFont="1" applyAlignment="1">
      <alignment horizontal="left" indent="3"/>
    </xf>
    <xf numFmtId="0" fontId="30" fillId="0" borderId="0" xfId="0" applyFont="1" applyAlignment="1">
      <alignment horizontal="left" indent="4"/>
    </xf>
    <xf numFmtId="0" fontId="30" fillId="0" borderId="0" xfId="0" applyFont="1" applyAlignment="1">
      <alignment horizontal="left" indent="6"/>
    </xf>
    <xf numFmtId="0" fontId="34" fillId="0" borderId="0" xfId="0" applyFont="1" applyAlignment="1">
      <alignment horizontal="left" indent="2"/>
    </xf>
    <xf numFmtId="3" fontId="34" fillId="0" borderId="0" xfId="0" applyNumberFormat="1" applyFont="1" applyAlignment="1">
      <alignment shrinkToFit="1"/>
    </xf>
    <xf numFmtId="0" fontId="38" fillId="0" borderId="0" xfId="0" applyFont="1"/>
    <xf numFmtId="3" fontId="38" fillId="0" borderId="0" xfId="0" applyNumberFormat="1" applyFont="1" applyAlignment="1">
      <alignment shrinkToFit="1"/>
    </xf>
    <xf numFmtId="0" fontId="39" fillId="0" borderId="0" xfId="0" applyFont="1"/>
    <xf numFmtId="3" fontId="39" fillId="0" borderId="0" xfId="0" applyNumberFormat="1" applyFont="1" applyAlignment="1">
      <alignment shrinkToFit="1"/>
    </xf>
    <xf numFmtId="0" fontId="40" fillId="0" borderId="0" xfId="0" applyFont="1" applyAlignment="1">
      <alignment horizontal="left" indent="1"/>
    </xf>
    <xf numFmtId="0" fontId="40" fillId="0" borderId="0" xfId="0" applyFont="1"/>
    <xf numFmtId="0" fontId="39" fillId="0" borderId="0" xfId="0" applyFont="1" applyAlignment="1">
      <alignment horizontal="left" indent="2"/>
    </xf>
    <xf numFmtId="0" fontId="39" fillId="0" borderId="0" xfId="0" applyFont="1" applyAlignment="1">
      <alignment horizontal="left" indent="4"/>
    </xf>
    <xf numFmtId="0" fontId="10" fillId="0" borderId="0" xfId="0" applyFont="1" applyAlignment="1">
      <alignment horizontal="left" indent="2"/>
    </xf>
    <xf numFmtId="3" fontId="17" fillId="0" borderId="0" xfId="0" applyNumberFormat="1" applyFont="1" applyAlignment="1">
      <alignment shrinkToFi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4" fontId="10" fillId="0" borderId="0" xfId="0" applyNumberFormat="1" applyFont="1" applyAlignment="1">
      <alignment shrinkToFit="1"/>
    </xf>
    <xf numFmtId="0" fontId="11" fillId="0" borderId="0" xfId="0" applyFont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0" xfId="0" applyFont="1" applyAlignment="1">
      <alignment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20" fillId="0" borderId="0" xfId="0" applyFont="1" applyAlignment="1">
      <alignment wrapText="1"/>
    </xf>
    <xf numFmtId="0" fontId="21" fillId="0" borderId="2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43" fillId="0" borderId="0" xfId="0" applyFont="1"/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 shrinkToFit="1"/>
    </xf>
    <xf numFmtId="3" fontId="16" fillId="0" borderId="0" xfId="0" applyNumberFormat="1" applyFont="1"/>
    <xf numFmtId="0" fontId="17" fillId="0" borderId="6" xfId="0" applyFont="1" applyBorder="1" applyAlignment="1">
      <alignment horizontal="left" vertical="top"/>
    </xf>
    <xf numFmtId="3" fontId="17" fillId="0" borderId="6" xfId="0" applyNumberFormat="1" applyFont="1" applyBorder="1" applyAlignment="1">
      <alignment horizontal="right" vertical="top" shrinkToFit="1"/>
    </xf>
    <xf numFmtId="0" fontId="17" fillId="0" borderId="6" xfId="0" applyFont="1" applyBorder="1"/>
    <xf numFmtId="0" fontId="21" fillId="0" borderId="6" xfId="0" applyFont="1" applyBorder="1" applyAlignment="1">
      <alignment horizontal="center" vertical="top" shrinkToFit="1"/>
    </xf>
    <xf numFmtId="3" fontId="21" fillId="0" borderId="6" xfId="0" applyNumberFormat="1" applyFont="1" applyBorder="1" applyAlignment="1">
      <alignment horizontal="right" shrinkToFit="1"/>
    </xf>
    <xf numFmtId="0" fontId="44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/>
    </xf>
    <xf numFmtId="3" fontId="17" fillId="0" borderId="10" xfId="0" applyNumberFormat="1" applyFont="1" applyBorder="1" applyAlignment="1">
      <alignment horizontal="right" vertical="top" shrinkToFit="1"/>
    </xf>
    <xf numFmtId="0" fontId="0" fillId="0" borderId="8" xfId="0" applyBorder="1"/>
    <xf numFmtId="0" fontId="17" fillId="0" borderId="0" xfId="0" applyFont="1" applyAlignment="1">
      <alignment horizontal="left" vertical="top" indent="1"/>
    </xf>
    <xf numFmtId="0" fontId="46" fillId="0" borderId="0" xfId="0" applyFont="1" applyAlignment="1">
      <alignment wrapText="1"/>
    </xf>
    <xf numFmtId="0" fontId="47" fillId="0" borderId="6" xfId="0" applyFont="1" applyBorder="1" applyAlignment="1">
      <alignment horizontal="center" vertical="top" shrinkToFit="1"/>
    </xf>
    <xf numFmtId="0" fontId="47" fillId="0" borderId="6" xfId="0" applyFont="1" applyBorder="1" applyAlignment="1">
      <alignment horizontal="left" vertical="top" wrapText="1"/>
    </xf>
    <xf numFmtId="0" fontId="47" fillId="0" borderId="6" xfId="0" applyFont="1" applyBorder="1" applyAlignment="1">
      <alignment horizontal="right" shrinkToFit="1"/>
    </xf>
    <xf numFmtId="0" fontId="47" fillId="0" borderId="6" xfId="0" applyFont="1" applyBorder="1"/>
    <xf numFmtId="0" fontId="32" fillId="0" borderId="6" xfId="0" applyFont="1" applyBorder="1" applyAlignment="1">
      <alignment horizontal="center" vertical="top" shrinkToFit="1"/>
    </xf>
    <xf numFmtId="0" fontId="32" fillId="0" borderId="6" xfId="0" applyFont="1" applyBorder="1" applyAlignment="1">
      <alignment horizontal="left" vertical="top" wrapText="1" indent="1"/>
    </xf>
    <xf numFmtId="0" fontId="28" fillId="0" borderId="6" xfId="0" applyFont="1" applyBorder="1" applyAlignment="1">
      <alignment horizontal="right" shrinkToFit="1"/>
    </xf>
    <xf numFmtId="0" fontId="32" fillId="0" borderId="6" xfId="0" applyFont="1" applyBorder="1"/>
    <xf numFmtId="0" fontId="10" fillId="0" borderId="0" xfId="0" applyFont="1" applyAlignment="1">
      <alignment horizontal="center" wrapText="1"/>
    </xf>
    <xf numFmtId="0" fontId="12" fillId="0" borderId="0" xfId="0" applyFont="1"/>
    <xf numFmtId="0" fontId="45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42" fillId="0" borderId="0" xfId="0" applyFont="1" applyAlignment="1">
      <alignment horizontal="left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49" fontId="11" fillId="0" borderId="2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4" fillId="0" borderId="0" xfId="0" applyFont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7" fillId="0" borderId="3" xfId="0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14" fontId="12" fillId="0" borderId="2" xfId="0" applyNumberFormat="1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13" fillId="0" borderId="9" xfId="0" applyNumberFormat="1" applyFont="1" applyBorder="1" applyAlignment="1">
      <alignment horizontal="right" shrinkToFi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49" fontId="21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center" wrapText="1"/>
    </xf>
    <xf numFmtId="0" fontId="13" fillId="0" borderId="11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3" fontId="17" fillId="0" borderId="21" xfId="0" applyNumberFormat="1" applyFont="1" applyBorder="1" applyAlignment="1">
      <alignment vertical="top" shrinkToFit="1"/>
    </xf>
    <xf numFmtId="3" fontId="17" fillId="0" borderId="20" xfId="0" applyNumberFormat="1" applyFont="1" applyBorder="1" applyAlignment="1">
      <alignment vertical="top" shrinkToFit="1"/>
    </xf>
    <xf numFmtId="3" fontId="17" fillId="0" borderId="22" xfId="0" applyNumberFormat="1" applyFont="1" applyBorder="1" applyAlignment="1">
      <alignment vertical="top" shrinkToFit="1"/>
    </xf>
    <xf numFmtId="0" fontId="0" fillId="0" borderId="1" xfId="0" applyBorder="1"/>
    <xf numFmtId="0" fontId="0" fillId="0" borderId="32" xfId="0" applyBorder="1"/>
    <xf numFmtId="0" fontId="0" fillId="0" borderId="33" xfId="0" applyBorder="1"/>
    <xf numFmtId="3" fontId="33" fillId="0" borderId="38" xfId="0" applyNumberFormat="1" applyFont="1" applyBorder="1" applyAlignment="1">
      <alignment vertical="top" shrinkToFit="1"/>
    </xf>
    <xf numFmtId="3" fontId="33" fillId="0" borderId="39" xfId="0" applyNumberFormat="1" applyFont="1" applyBorder="1" applyAlignment="1">
      <alignment vertical="top" shrinkToFit="1"/>
    </xf>
    <xf numFmtId="3" fontId="33" fillId="0" borderId="40" xfId="0" applyNumberFormat="1" applyFont="1" applyBorder="1" applyAlignment="1">
      <alignment vertical="top" shrinkToFit="1"/>
    </xf>
    <xf numFmtId="0" fontId="11" fillId="0" borderId="9" xfId="0" applyFont="1" applyBorder="1" applyAlignment="1">
      <alignment horizontal="left" wrapText="1"/>
    </xf>
    <xf numFmtId="0" fontId="4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5"/>
  <sheetViews>
    <sheetView topLeftCell="A34" workbookViewId="0">
      <selection activeCell="C79" sqref="C79"/>
    </sheetView>
  </sheetViews>
  <sheetFormatPr defaultRowHeight="12.75" x14ac:dyDescent="0.2"/>
  <cols>
    <col min="1" max="1" width="7.7109375" customWidth="1"/>
    <col min="2" max="2" width="10.7109375" customWidth="1"/>
    <col min="3" max="3" width="36.7109375" customWidth="1"/>
    <col min="4" max="4" width="9.7109375" customWidth="1"/>
    <col min="5" max="5" width="8.7109375" customWidth="1"/>
    <col min="6" max="11" width="9.7109375" customWidth="1"/>
    <col min="15" max="69" width="0" hidden="1" customWidth="1"/>
    <col min="70" max="70" width="108.7109375" hidden="1" customWidth="1"/>
    <col min="71" max="71" width="118.7109375" hidden="1" customWidth="1"/>
    <col min="72" max="72" width="0" hidden="1" customWidth="1"/>
    <col min="73" max="73" width="125.7109375" hidden="1" customWidth="1"/>
    <col min="74" max="76" width="0" hidden="1" customWidth="1"/>
    <col min="77" max="77" width="37.7109375" hidden="1" customWidth="1"/>
    <col min="78" max="78" width="19.7109375" hidden="1" customWidth="1"/>
    <col min="79" max="79" width="37.7109375" hidden="1" customWidth="1"/>
    <col min="80" max="256" width="0" hidden="1" customWidth="1"/>
  </cols>
  <sheetData>
    <row r="1" spans="1:255" s="14" customFormat="1" ht="11.25" x14ac:dyDescent="0.2">
      <c r="A1" s="213" t="s">
        <v>248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255" x14ac:dyDescent="0.2">
      <c r="H2" s="212" t="s">
        <v>423</v>
      </c>
      <c r="I2" s="212"/>
      <c r="J2" s="212"/>
      <c r="K2" s="212"/>
    </row>
    <row r="3" spans="1:255" x14ac:dyDescent="0.2">
      <c r="H3" s="212"/>
      <c r="I3" s="212"/>
      <c r="J3" s="212"/>
      <c r="K3" s="212"/>
      <c r="CA3" s="21">
        <f>H3</f>
        <v>0</v>
      </c>
      <c r="IU3" s="22"/>
    </row>
    <row r="4" spans="1:255" x14ac:dyDescent="0.2">
      <c r="H4" s="212"/>
      <c r="I4" s="212"/>
      <c r="J4" s="212"/>
      <c r="K4" s="212"/>
      <c r="CA4" s="21">
        <f>H4</f>
        <v>0</v>
      </c>
      <c r="IU4" s="22"/>
    </row>
    <row r="5" spans="1:255" x14ac:dyDescent="0.2">
      <c r="H5" s="212"/>
      <c r="I5" s="212"/>
      <c r="J5" s="212"/>
      <c r="K5" s="212"/>
    </row>
    <row r="6" spans="1:255" x14ac:dyDescent="0.2">
      <c r="H6" s="212" t="s">
        <v>424</v>
      </c>
      <c r="I6" s="212"/>
      <c r="J6" s="212"/>
      <c r="K6" s="212"/>
    </row>
    <row r="7" spans="1:255" x14ac:dyDescent="0.2">
      <c r="H7" s="212"/>
      <c r="I7" s="212"/>
      <c r="J7" s="212"/>
      <c r="K7" s="212"/>
      <c r="CA7" s="21">
        <f>H7</f>
        <v>0</v>
      </c>
      <c r="IU7" s="22"/>
    </row>
    <row r="8" spans="1:255" x14ac:dyDescent="0.2">
      <c r="H8" s="212" t="s">
        <v>425</v>
      </c>
      <c r="I8" s="212"/>
      <c r="J8" s="212"/>
      <c r="K8" s="212"/>
    </row>
    <row r="11" spans="1:255" x14ac:dyDescent="0.2">
      <c r="A11" s="19" t="s">
        <v>255</v>
      </c>
      <c r="B11" s="18"/>
      <c r="C11" s="217"/>
      <c r="D11" s="218"/>
      <c r="E11" s="218"/>
      <c r="F11" s="218"/>
      <c r="G11" s="218"/>
      <c r="H11" s="218"/>
      <c r="I11" s="218"/>
      <c r="J11" s="218"/>
      <c r="K11" s="218"/>
      <c r="BR11" s="21">
        <f>C11</f>
        <v>0</v>
      </c>
      <c r="IU11" s="22"/>
    </row>
    <row r="12" spans="1:255" x14ac:dyDescent="0.2">
      <c r="A12" s="19" t="s">
        <v>257</v>
      </c>
      <c r="B12" s="18"/>
      <c r="C12" s="219"/>
      <c r="D12" s="220"/>
      <c r="E12" s="220"/>
      <c r="F12" s="220"/>
      <c r="G12" s="220"/>
      <c r="H12" s="220"/>
      <c r="I12" s="220"/>
      <c r="J12" s="220"/>
      <c r="K12" s="220"/>
      <c r="BR12" s="21">
        <f>C12</f>
        <v>0</v>
      </c>
      <c r="IU12" s="22"/>
    </row>
    <row r="13" spans="1:255" x14ac:dyDescent="0.2">
      <c r="A13" s="19" t="s">
        <v>259</v>
      </c>
      <c r="B13" s="18"/>
      <c r="C13" s="221"/>
      <c r="D13" s="222"/>
      <c r="E13" s="222"/>
      <c r="F13" s="222"/>
      <c r="G13" s="222"/>
      <c r="H13" s="222"/>
      <c r="I13" s="222"/>
      <c r="J13" s="222"/>
      <c r="K13" s="222"/>
      <c r="BR13" s="21">
        <f>C13</f>
        <v>0</v>
      </c>
      <c r="IU13" s="22"/>
    </row>
    <row r="14" spans="1:255" x14ac:dyDescent="0.2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</row>
    <row r="15" spans="1:255" ht="18.75" x14ac:dyDescent="0.3">
      <c r="A15" s="224" t="s">
        <v>426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</row>
    <row r="16" spans="1:255" x14ac:dyDescent="0.2">
      <c r="A16" s="225" t="s">
        <v>427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255" x14ac:dyDescent="0.2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255" ht="15.75" x14ac:dyDescent="0.25">
      <c r="A18" s="13" t="s">
        <v>261</v>
      </c>
      <c r="B18" s="226" t="s">
        <v>6</v>
      </c>
      <c r="C18" s="226"/>
      <c r="D18" s="226"/>
      <c r="E18" s="226"/>
      <c r="F18" s="226"/>
      <c r="G18" s="226"/>
      <c r="H18" s="226"/>
      <c r="I18" s="226"/>
      <c r="J18" s="226"/>
      <c r="K18" s="226"/>
      <c r="BS18" s="183" t="str">
        <f>B18</f>
        <v>ЛС Ремонт лестничных маршей</v>
      </c>
      <c r="IU18" s="22"/>
    </row>
    <row r="20" spans="1:255" x14ac:dyDescent="0.2">
      <c r="A20" s="184" t="s">
        <v>384</v>
      </c>
      <c r="B20" s="184" t="s">
        <v>386</v>
      </c>
      <c r="C20" s="184" t="s">
        <v>389</v>
      </c>
      <c r="D20" s="184" t="s">
        <v>391</v>
      </c>
      <c r="E20" s="184" t="s">
        <v>429</v>
      </c>
      <c r="F20" s="227" t="s">
        <v>431</v>
      </c>
      <c r="G20" s="228"/>
      <c r="H20" s="228"/>
      <c r="I20" s="184" t="s">
        <v>436</v>
      </c>
      <c r="J20" s="184"/>
      <c r="K20" s="185" t="s">
        <v>439</v>
      </c>
    </row>
    <row r="21" spans="1:255" x14ac:dyDescent="0.2">
      <c r="A21" s="186" t="s">
        <v>385</v>
      </c>
      <c r="B21" s="186" t="s">
        <v>387</v>
      </c>
      <c r="C21" s="186" t="s">
        <v>428</v>
      </c>
      <c r="D21" s="186" t="s">
        <v>392</v>
      </c>
      <c r="E21" s="186" t="s">
        <v>430</v>
      </c>
      <c r="F21" s="184" t="s">
        <v>432</v>
      </c>
      <c r="G21" s="184" t="s">
        <v>434</v>
      </c>
      <c r="H21" s="184" t="s">
        <v>435</v>
      </c>
      <c r="I21" s="186" t="s">
        <v>437</v>
      </c>
      <c r="J21" s="186" t="s">
        <v>438</v>
      </c>
      <c r="K21" s="187" t="s">
        <v>440</v>
      </c>
    </row>
    <row r="22" spans="1:255" x14ac:dyDescent="0.2">
      <c r="A22" s="186"/>
      <c r="B22" s="186" t="s">
        <v>388</v>
      </c>
      <c r="C22" s="186"/>
      <c r="D22" s="186" t="s">
        <v>393</v>
      </c>
      <c r="E22" s="186"/>
      <c r="F22" s="186" t="s">
        <v>433</v>
      </c>
      <c r="G22" s="186"/>
      <c r="H22" s="186"/>
      <c r="I22" s="186"/>
      <c r="J22" s="186"/>
      <c r="K22" s="187" t="s">
        <v>441</v>
      </c>
    </row>
    <row r="23" spans="1:255" x14ac:dyDescent="0.2">
      <c r="A23" s="184">
        <v>1</v>
      </c>
      <c r="B23" s="184">
        <v>2</v>
      </c>
      <c r="C23" s="184">
        <v>3</v>
      </c>
      <c r="D23" s="184">
        <v>4</v>
      </c>
      <c r="E23" s="184">
        <v>5</v>
      </c>
      <c r="F23" s="184">
        <v>6</v>
      </c>
      <c r="G23" s="184">
        <v>7</v>
      </c>
      <c r="H23" s="184">
        <v>8</v>
      </c>
      <c r="I23" s="184">
        <v>9</v>
      </c>
      <c r="J23" s="184">
        <v>10</v>
      </c>
      <c r="K23" s="185">
        <v>11</v>
      </c>
    </row>
    <row r="24" spans="1:255" ht="15" x14ac:dyDescent="0.25">
      <c r="A24" s="214" t="s">
        <v>442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6"/>
      <c r="BU24" s="203" t="str">
        <f>A24</f>
        <v>Смета: Ремонт лестничных маршей ЛМП 57.11.15-5 ( на 1 лестничный марш)</v>
      </c>
      <c r="IU24" s="22"/>
    </row>
    <row r="25" spans="1:255" ht="60" x14ac:dyDescent="0.2">
      <c r="A25" s="204" t="s">
        <v>16</v>
      </c>
      <c r="B25" s="205" t="s">
        <v>17</v>
      </c>
      <c r="C25" s="205" t="s">
        <v>18</v>
      </c>
      <c r="D25" s="205" t="s">
        <v>19</v>
      </c>
      <c r="E25" s="206">
        <f>Source!I25</f>
        <v>8.4000000000000005E-2</v>
      </c>
      <c r="F25" s="206"/>
      <c r="G25" s="206"/>
      <c r="H25" s="206"/>
      <c r="I25" s="206"/>
      <c r="J25" s="207"/>
      <c r="K25" s="207"/>
    </row>
    <row r="26" spans="1:255" ht="60" x14ac:dyDescent="0.2">
      <c r="A26" s="204" t="s">
        <v>26</v>
      </c>
      <c r="B26" s="205" t="s">
        <v>27</v>
      </c>
      <c r="C26" s="205" t="s">
        <v>28</v>
      </c>
      <c r="D26" s="205" t="s">
        <v>29</v>
      </c>
      <c r="E26" s="206">
        <f>Source!I27</f>
        <v>0.24</v>
      </c>
      <c r="F26" s="206"/>
      <c r="G26" s="206"/>
      <c r="H26" s="206"/>
      <c r="I26" s="206"/>
      <c r="J26" s="207"/>
      <c r="K26" s="207"/>
    </row>
    <row r="27" spans="1:255" ht="60" x14ac:dyDescent="0.2">
      <c r="A27" s="204" t="s">
        <v>40</v>
      </c>
      <c r="B27" s="205" t="s">
        <v>41</v>
      </c>
      <c r="C27" s="205" t="s">
        <v>42</v>
      </c>
      <c r="D27" s="205" t="s">
        <v>43</v>
      </c>
      <c r="E27" s="206">
        <f>Source!I29</f>
        <v>1.6799999999999999E-2</v>
      </c>
      <c r="F27" s="206"/>
      <c r="G27" s="206"/>
      <c r="H27" s="206"/>
      <c r="I27" s="206"/>
      <c r="J27" s="207"/>
      <c r="K27" s="207"/>
    </row>
    <row r="28" spans="1:255" ht="72" x14ac:dyDescent="0.2">
      <c r="A28" s="204" t="s">
        <v>50</v>
      </c>
      <c r="B28" s="205" t="s">
        <v>51</v>
      </c>
      <c r="C28" s="205" t="s">
        <v>52</v>
      </c>
      <c r="D28" s="205" t="s">
        <v>53</v>
      </c>
      <c r="E28" s="206">
        <f>Source!I31</f>
        <v>8.4000000000000005E-2</v>
      </c>
      <c r="F28" s="206"/>
      <c r="G28" s="206"/>
      <c r="H28" s="206"/>
      <c r="I28" s="206"/>
      <c r="J28" s="207"/>
      <c r="K28" s="207"/>
    </row>
    <row r="29" spans="1:255" x14ac:dyDescent="0.2">
      <c r="A29" s="208"/>
      <c r="B29" s="119" t="s">
        <v>61</v>
      </c>
      <c r="C29" s="209" t="s">
        <v>62</v>
      </c>
      <c r="D29" s="119" t="s">
        <v>63</v>
      </c>
      <c r="E29" s="121"/>
      <c r="F29" s="121">
        <v>119.04761904761904</v>
      </c>
      <c r="G29" s="121">
        <f>F29*E28</f>
        <v>10</v>
      </c>
      <c r="H29" s="121">
        <f>G29</f>
        <v>10</v>
      </c>
      <c r="I29" s="210" t="str">
        <f>IF(AND((G29-H29)&lt;0,H29&gt;0),ABS(G29-H29)," ")</f>
        <v xml:space="preserve"> </v>
      </c>
      <c r="J29" s="211" t="str">
        <f>IF(AND((G29-H29)&gt;0, H29&gt;0),G29-H29," ")</f>
        <v xml:space="preserve"> </v>
      </c>
      <c r="K29" s="211"/>
    </row>
    <row r="30" spans="1:255" x14ac:dyDescent="0.2">
      <c r="A30" s="208"/>
      <c r="B30" s="119" t="s">
        <v>70</v>
      </c>
      <c r="C30" s="209" t="s">
        <v>71</v>
      </c>
      <c r="D30" s="119" t="s">
        <v>63</v>
      </c>
      <c r="E30" s="121"/>
      <c r="F30" s="121">
        <v>319.99999999999994</v>
      </c>
      <c r="G30" s="121">
        <f>F30*E28</f>
        <v>26.879999999999995</v>
      </c>
      <c r="H30" s="121">
        <f>G30</f>
        <v>26.879999999999995</v>
      </c>
      <c r="I30" s="210" t="str">
        <f>IF(AND((G30-H30)&lt;0,H30&gt;0),ABS(G30-H30)," ")</f>
        <v xml:space="preserve"> </v>
      </c>
      <c r="J30" s="211" t="str">
        <f>IF(AND((G30-H30)&gt;0, H30&gt;0),G30-H30," ")</f>
        <v xml:space="preserve"> </v>
      </c>
      <c r="K30" s="211"/>
    </row>
    <row r="31" spans="1:255" x14ac:dyDescent="0.2">
      <c r="A31" s="208"/>
      <c r="B31" s="119" t="s">
        <v>75</v>
      </c>
      <c r="C31" s="209" t="s">
        <v>76</v>
      </c>
      <c r="D31" s="119" t="s">
        <v>77</v>
      </c>
      <c r="E31" s="121"/>
      <c r="F31" s="121">
        <v>3.3333333333333333E-2</v>
      </c>
      <c r="G31" s="121">
        <f>F31*E28</f>
        <v>2.8E-3</v>
      </c>
      <c r="H31" s="121">
        <f>G31</f>
        <v>2.8E-3</v>
      </c>
      <c r="I31" s="210" t="str">
        <f>IF(AND((G31-H31)&lt;0,H31&gt;0),ABS(G31-H31)," ")</f>
        <v xml:space="preserve"> </v>
      </c>
      <c r="J31" s="211" t="str">
        <f>IF(AND((G31-H31)&gt;0, H31&gt;0),G31-H31," ")</f>
        <v xml:space="preserve"> </v>
      </c>
      <c r="K31" s="211"/>
    </row>
    <row r="32" spans="1:255" ht="36" x14ac:dyDescent="0.2">
      <c r="A32" s="204" t="s">
        <v>80</v>
      </c>
      <c r="B32" s="205" t="s">
        <v>81</v>
      </c>
      <c r="C32" s="205" t="s">
        <v>82</v>
      </c>
      <c r="D32" s="205" t="s">
        <v>53</v>
      </c>
      <c r="E32" s="206">
        <f>Source!I39</f>
        <v>-8.4000000000000005E-2</v>
      </c>
      <c r="F32" s="206"/>
      <c r="G32" s="206"/>
      <c r="H32" s="206"/>
      <c r="I32" s="206"/>
      <c r="J32" s="207"/>
      <c r="K32" s="207"/>
    </row>
    <row r="33" spans="1:11" ht="60" x14ac:dyDescent="0.2">
      <c r="A33" s="204" t="s">
        <v>85</v>
      </c>
      <c r="B33" s="205" t="s">
        <v>17</v>
      </c>
      <c r="C33" s="205" t="s">
        <v>86</v>
      </c>
      <c r="D33" s="205" t="s">
        <v>19</v>
      </c>
      <c r="E33" s="206">
        <f>Source!I41</f>
        <v>8.4000000000000005E-2</v>
      </c>
      <c r="F33" s="206"/>
      <c r="G33" s="206"/>
      <c r="H33" s="206"/>
      <c r="I33" s="206"/>
      <c r="J33" s="207"/>
      <c r="K33" s="207"/>
    </row>
    <row r="35" spans="1:11" ht="14.25" customHeight="1" x14ac:dyDescent="0.2"/>
  </sheetData>
  <mergeCells count="18">
    <mergeCell ref="A24:K24"/>
    <mergeCell ref="H7:K7"/>
    <mergeCell ref="H8:K8"/>
    <mergeCell ref="C11:K11"/>
    <mergeCell ref="C12:K12"/>
    <mergeCell ref="C13:K13"/>
    <mergeCell ref="A14:K14"/>
    <mergeCell ref="A15:K15"/>
    <mergeCell ref="A16:K16"/>
    <mergeCell ref="A17:K17"/>
    <mergeCell ref="B18:K18"/>
    <mergeCell ref="F20:H20"/>
    <mergeCell ref="H6:K6"/>
    <mergeCell ref="A1:K1"/>
    <mergeCell ref="H2:K2"/>
    <mergeCell ref="H3:K3"/>
    <mergeCell ref="H4:K4"/>
    <mergeCell ref="H5:K5"/>
  </mergeCells>
  <pageMargins left="0.7" right="0.7" top="0.75" bottom="0.75" header="0.3" footer="0.3"/>
  <pageSetup paperSize="9" orientation="landscape" r:id="rId1"/>
  <headerFooter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26</v>
      </c>
      <c r="B1">
        <v>1</v>
      </c>
      <c r="C1" t="s">
        <v>3</v>
      </c>
      <c r="D1" t="s">
        <v>3</v>
      </c>
      <c r="E1" t="s">
        <v>31</v>
      </c>
      <c r="F1" t="s">
        <v>31</v>
      </c>
      <c r="G1" t="s">
        <v>32</v>
      </c>
      <c r="H1" t="s">
        <v>3</v>
      </c>
      <c r="I1" t="s">
        <v>32</v>
      </c>
      <c r="J1" t="s">
        <v>31</v>
      </c>
      <c r="K1" t="s">
        <v>3</v>
      </c>
      <c r="L1" t="s">
        <v>3</v>
      </c>
      <c r="M1" t="s">
        <v>3</v>
      </c>
      <c r="N1" t="s">
        <v>3</v>
      </c>
      <c r="O1" t="s">
        <v>31</v>
      </c>
      <c r="P1" t="s">
        <v>3</v>
      </c>
      <c r="Q1" t="s">
        <v>3</v>
      </c>
      <c r="R1" t="s">
        <v>3</v>
      </c>
      <c r="S1" t="s">
        <v>228</v>
      </c>
      <c r="T1" t="s">
        <v>231</v>
      </c>
      <c r="U1" t="s">
        <v>229</v>
      </c>
    </row>
    <row r="2" spans="1:21" x14ac:dyDescent="0.2">
      <c r="A2">
        <v>27</v>
      </c>
      <c r="B2">
        <v>1</v>
      </c>
      <c r="C2" t="s">
        <v>3</v>
      </c>
      <c r="D2" t="s">
        <v>3</v>
      </c>
      <c r="E2" t="s">
        <v>31</v>
      </c>
      <c r="F2" t="s">
        <v>31</v>
      </c>
      <c r="G2" t="s">
        <v>32</v>
      </c>
      <c r="H2" t="s">
        <v>3</v>
      </c>
      <c r="I2" t="s">
        <v>32</v>
      </c>
      <c r="J2" t="s">
        <v>31</v>
      </c>
      <c r="K2" t="s">
        <v>3</v>
      </c>
      <c r="L2" t="s">
        <v>3</v>
      </c>
      <c r="M2" t="s">
        <v>3</v>
      </c>
      <c r="N2" t="s">
        <v>3</v>
      </c>
      <c r="O2" t="s">
        <v>31</v>
      </c>
      <c r="P2" t="s">
        <v>3</v>
      </c>
      <c r="Q2" t="s">
        <v>3</v>
      </c>
      <c r="R2" t="s">
        <v>3</v>
      </c>
      <c r="S2" t="s">
        <v>228</v>
      </c>
      <c r="T2" t="s">
        <v>231</v>
      </c>
      <c r="U2" t="s">
        <v>229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65519</v>
      </c>
      <c r="M1">
        <v>66419234</v>
      </c>
      <c r="N1">
        <v>11</v>
      </c>
      <c r="O1">
        <v>15</v>
      </c>
      <c r="P1">
        <v>0</v>
      </c>
      <c r="Q1">
        <v>0</v>
      </c>
    </row>
    <row r="12" spans="1:103" x14ac:dyDescent="0.2">
      <c r="F12" t="str">
        <f>Source!F12</f>
        <v>ЛС Ремонт лестничных маршей</v>
      </c>
      <c r="G12" t="str">
        <f>Source!G12</f>
        <v>ЛС Ремонт лестничных маршей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230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40"/>
  <sheetViews>
    <sheetView topLeftCell="A19" workbookViewId="0">
      <selection activeCell="A42" sqref="A42:XFD50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82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4" customFormat="1" ht="11.25" x14ac:dyDescent="0.2">
      <c r="A1" s="213" t="s">
        <v>248</v>
      </c>
      <c r="B1" s="213"/>
      <c r="C1" s="213"/>
      <c r="D1" s="213"/>
      <c r="E1" s="213"/>
      <c r="F1" s="213"/>
      <c r="G1" s="213"/>
    </row>
    <row r="3" spans="1:255" x14ac:dyDescent="0.2">
      <c r="A3" s="19" t="s">
        <v>255</v>
      </c>
      <c r="B3" s="18"/>
      <c r="C3" s="217"/>
      <c r="D3" s="218"/>
      <c r="E3" s="218"/>
      <c r="F3" s="218"/>
      <c r="G3" s="218"/>
      <c r="BR3" s="21">
        <f>C3</f>
        <v>0</v>
      </c>
      <c r="IU3" s="22"/>
    </row>
    <row r="4" spans="1:255" x14ac:dyDescent="0.2">
      <c r="A4" s="19" t="s">
        <v>257</v>
      </c>
      <c r="B4" s="18"/>
      <c r="C4" s="219"/>
      <c r="D4" s="220"/>
      <c r="E4" s="220"/>
      <c r="F4" s="220"/>
      <c r="G4" s="220"/>
      <c r="BR4" s="21">
        <f>C4</f>
        <v>0</v>
      </c>
      <c r="IU4" s="22"/>
    </row>
    <row r="5" spans="1:255" x14ac:dyDescent="0.2">
      <c r="A5" s="19" t="s">
        <v>259</v>
      </c>
      <c r="B5" s="18"/>
      <c r="C5" s="221"/>
      <c r="D5" s="222"/>
      <c r="E5" s="222"/>
      <c r="F5" s="222"/>
      <c r="G5" s="222"/>
      <c r="BR5" s="21">
        <f>C5</f>
        <v>0</v>
      </c>
      <c r="IU5" s="22"/>
    </row>
    <row r="6" spans="1:255" x14ac:dyDescent="0.2">
      <c r="A6" s="223"/>
      <c r="B6" s="223"/>
      <c r="C6" s="223"/>
      <c r="D6" s="223"/>
      <c r="E6" s="223"/>
      <c r="F6" s="223"/>
      <c r="G6" s="223"/>
    </row>
    <row r="7" spans="1:255" ht="18.75" x14ac:dyDescent="0.3">
      <c r="A7" s="224" t="s">
        <v>410</v>
      </c>
      <c r="B7" s="224"/>
      <c r="C7" s="224"/>
      <c r="D7" s="224"/>
      <c r="E7" s="224"/>
      <c r="F7" s="224"/>
      <c r="G7" s="224"/>
    </row>
    <row r="8" spans="1:255" x14ac:dyDescent="0.2">
      <c r="A8" s="225"/>
      <c r="B8" s="225"/>
      <c r="C8" s="225"/>
      <c r="D8" s="225"/>
      <c r="E8" s="225"/>
      <c r="F8" s="225"/>
      <c r="G8" s="225"/>
    </row>
    <row r="9" spans="1:255" x14ac:dyDescent="0.2">
      <c r="A9" s="225"/>
      <c r="B9" s="225"/>
      <c r="C9" s="225"/>
      <c r="D9" s="225"/>
      <c r="E9" s="225"/>
      <c r="F9" s="225"/>
      <c r="G9" s="225"/>
    </row>
    <row r="10" spans="1:255" ht="15.75" x14ac:dyDescent="0.25">
      <c r="A10" s="13" t="s">
        <v>261</v>
      </c>
      <c r="B10" s="226" t="s">
        <v>6</v>
      </c>
      <c r="C10" s="226"/>
      <c r="D10" s="226"/>
      <c r="E10" s="226"/>
      <c r="F10" s="226"/>
      <c r="G10" s="226"/>
      <c r="BS10" s="183" t="str">
        <f>B10</f>
        <v>ЛС Ремонт лестничных маршей</v>
      </c>
      <c r="IU10" s="22"/>
    </row>
    <row r="12" spans="1:255" x14ac:dyDescent="0.2">
      <c r="A12" s="229" t="s">
        <v>276</v>
      </c>
      <c r="B12" s="229"/>
      <c r="C12" s="229"/>
      <c r="D12" s="229"/>
      <c r="E12" s="229"/>
      <c r="F12" s="229"/>
      <c r="G12" s="229"/>
      <c r="BS12" s="180" t="str">
        <f>A12</f>
        <v>Составлено в уровне цен : I кв. 2026 г.</v>
      </c>
      <c r="IU12" s="22"/>
    </row>
    <row r="13" spans="1:255" x14ac:dyDescent="0.2">
      <c r="A13" s="229" t="s">
        <v>277</v>
      </c>
      <c r="B13" s="229"/>
      <c r="C13" s="229"/>
      <c r="D13" s="229"/>
      <c r="E13" s="229"/>
      <c r="F13" s="229"/>
      <c r="G13" s="229"/>
      <c r="BS13" s="180" t="str">
        <f>A13</f>
        <v>Наименование и редакция СНБ: ТСНБ ТЕР-2001 Орловской области (редакция 2014 г. от 2014.10.06)</v>
      </c>
      <c r="IU13" s="22"/>
    </row>
    <row r="14" spans="1:255" x14ac:dyDescent="0.2">
      <c r="A14" s="184" t="s">
        <v>384</v>
      </c>
      <c r="B14" s="184" t="s">
        <v>386</v>
      </c>
      <c r="C14" s="184" t="s">
        <v>389</v>
      </c>
      <c r="D14" s="184" t="s">
        <v>391</v>
      </c>
      <c r="E14" s="184" t="s">
        <v>394</v>
      </c>
      <c r="F14" s="184" t="s">
        <v>396</v>
      </c>
      <c r="G14" s="184" t="s">
        <v>398</v>
      </c>
      <c r="H14" s="184" t="s">
        <v>400</v>
      </c>
      <c r="I14" s="185" t="s">
        <v>365</v>
      </c>
    </row>
    <row r="15" spans="1:255" x14ac:dyDescent="0.2">
      <c r="A15" s="186" t="s">
        <v>385</v>
      </c>
      <c r="B15" s="186" t="s">
        <v>387</v>
      </c>
      <c r="C15" s="186" t="s">
        <v>411</v>
      </c>
      <c r="D15" s="186" t="s">
        <v>392</v>
      </c>
      <c r="E15" s="186" t="s">
        <v>395</v>
      </c>
      <c r="F15" s="186" t="s">
        <v>397</v>
      </c>
      <c r="G15" s="186" t="s">
        <v>399</v>
      </c>
      <c r="H15" s="186" t="s">
        <v>401</v>
      </c>
      <c r="I15" s="187" t="s">
        <v>307</v>
      </c>
    </row>
    <row r="16" spans="1:255" x14ac:dyDescent="0.2">
      <c r="A16" s="186"/>
      <c r="B16" s="186" t="s">
        <v>388</v>
      </c>
      <c r="C16" s="186"/>
      <c r="D16" s="186" t="s">
        <v>393</v>
      </c>
      <c r="E16" s="186"/>
      <c r="F16" s="186"/>
      <c r="G16" s="186" t="s">
        <v>397</v>
      </c>
      <c r="H16" s="186" t="s">
        <v>402</v>
      </c>
      <c r="I16" s="187"/>
    </row>
    <row r="17" spans="1:255" x14ac:dyDescent="0.2">
      <c r="A17" s="184">
        <v>1</v>
      </c>
      <c r="B17" s="184">
        <v>2</v>
      </c>
      <c r="C17" s="184">
        <v>3</v>
      </c>
      <c r="D17" s="184">
        <v>4</v>
      </c>
      <c r="E17" s="184">
        <v>5</v>
      </c>
      <c r="F17" s="184">
        <v>6</v>
      </c>
      <c r="G17" s="184">
        <v>7</v>
      </c>
      <c r="H17" s="184">
        <v>8</v>
      </c>
      <c r="I17" s="185">
        <v>9</v>
      </c>
    </row>
    <row r="18" spans="1:255" x14ac:dyDescent="0.2">
      <c r="A18" s="194"/>
      <c r="B18" s="194" t="s">
        <v>412</v>
      </c>
      <c r="C18" s="194"/>
      <c r="D18" s="194"/>
      <c r="E18" s="194"/>
      <c r="F18" s="194"/>
      <c r="G18" s="32"/>
      <c r="H18" s="32"/>
      <c r="I18" s="32"/>
    </row>
    <row r="19" spans="1:255" s="42" customFormat="1" ht="24" x14ac:dyDescent="0.2">
      <c r="A19" s="195">
        <v>1</v>
      </c>
      <c r="B19" s="109" t="s">
        <v>209</v>
      </c>
      <c r="C19" s="109" t="s">
        <v>210</v>
      </c>
      <c r="D19" s="109" t="s">
        <v>211</v>
      </c>
      <c r="E19" s="111">
        <v>3.4944000000000002</v>
      </c>
      <c r="F19" s="112">
        <f>ROUND( 7.87 * 36.99, 2 )</f>
        <v>291.11</v>
      </c>
      <c r="G19" s="196">
        <f>ROUND(E19*F19,0)</f>
        <v>1017</v>
      </c>
      <c r="H19" s="197" t="s">
        <v>413</v>
      </c>
      <c r="I19" s="197" t="s">
        <v>405</v>
      </c>
    </row>
    <row r="20" spans="1:255" s="42" customFormat="1" ht="24" x14ac:dyDescent="0.2">
      <c r="A20" s="195">
        <v>2</v>
      </c>
      <c r="B20" s="109" t="s">
        <v>212</v>
      </c>
      <c r="C20" s="109" t="s">
        <v>213</v>
      </c>
      <c r="D20" s="109" t="s">
        <v>211</v>
      </c>
      <c r="E20" s="111">
        <v>0.33794400000000002</v>
      </c>
      <c r="F20" s="112">
        <f>ROUND( 8.6 * 36.99, 2 )</f>
        <v>318.11</v>
      </c>
      <c r="G20" s="196">
        <f>ROUND(E20*F20,0)</f>
        <v>108</v>
      </c>
      <c r="H20" s="197" t="s">
        <v>414</v>
      </c>
      <c r="I20" s="197" t="s">
        <v>405</v>
      </c>
    </row>
    <row r="21" spans="1:255" s="42" customFormat="1" ht="24" x14ac:dyDescent="0.2">
      <c r="A21" s="195">
        <v>3</v>
      </c>
      <c r="B21" s="109" t="s">
        <v>220</v>
      </c>
      <c r="C21" s="109" t="s">
        <v>221</v>
      </c>
      <c r="D21" s="109" t="s">
        <v>211</v>
      </c>
      <c r="E21" s="111">
        <v>2.6965680000000005</v>
      </c>
      <c r="F21" s="112">
        <f>ROUND( 9.04 * 36.99, 2 )</f>
        <v>334.39</v>
      </c>
      <c r="G21" s="196">
        <f>ROUND(E21*F21,0)</f>
        <v>902</v>
      </c>
      <c r="H21" s="197" t="s">
        <v>416</v>
      </c>
      <c r="I21" s="197" t="s">
        <v>405</v>
      </c>
    </row>
    <row r="22" spans="1:255" s="42" customFormat="1" ht="12" x14ac:dyDescent="0.2">
      <c r="A22" s="195">
        <v>4</v>
      </c>
      <c r="B22" s="109" t="s">
        <v>26</v>
      </c>
      <c r="C22" s="109" t="s">
        <v>214</v>
      </c>
      <c r="D22" s="109" t="s">
        <v>215</v>
      </c>
      <c r="E22" s="111">
        <v>5.9808E-2</v>
      </c>
      <c r="F22" s="112">
        <f>ROUND( 0, 2 )</f>
        <v>0</v>
      </c>
      <c r="G22" s="196">
        <f>ROUND(E22*F22,0)</f>
        <v>0</v>
      </c>
      <c r="H22" s="198" t="s">
        <v>415</v>
      </c>
      <c r="I22" s="198" t="s">
        <v>405</v>
      </c>
    </row>
    <row r="23" spans="1:255" x14ac:dyDescent="0.2">
      <c r="A23" s="59"/>
      <c r="B23" s="59"/>
      <c r="C23" s="199" t="s">
        <v>408</v>
      </c>
      <c r="D23" s="59"/>
      <c r="E23" s="59"/>
      <c r="F23" s="59"/>
      <c r="G23" s="200">
        <f>ROUND(SUM(G19:G22),0)</f>
        <v>2027</v>
      </c>
      <c r="H23" s="59"/>
      <c r="I23" s="59"/>
      <c r="J23" s="22"/>
      <c r="K23" s="191">
        <f>G23</f>
        <v>2027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</row>
    <row r="24" spans="1:255" x14ac:dyDescent="0.2">
      <c r="A24" s="31"/>
      <c r="B24" s="105"/>
      <c r="C24" s="105"/>
      <c r="D24" s="105"/>
      <c r="E24" s="105"/>
      <c r="F24" s="105"/>
      <c r="G24" s="201"/>
      <c r="H24" s="105"/>
      <c r="I24" s="201"/>
    </row>
    <row r="25" spans="1:255" x14ac:dyDescent="0.2">
      <c r="A25" s="194"/>
      <c r="B25" s="194" t="s">
        <v>417</v>
      </c>
      <c r="C25" s="194"/>
      <c r="D25" s="194"/>
      <c r="E25" s="194"/>
      <c r="F25" s="194"/>
      <c r="G25" s="32"/>
      <c r="H25" s="32"/>
      <c r="I25" s="32"/>
    </row>
    <row r="26" spans="1:255" s="42" customFormat="1" ht="24" x14ac:dyDescent="0.2">
      <c r="A26" s="195">
        <v>5</v>
      </c>
      <c r="B26" s="109" t="s">
        <v>216</v>
      </c>
      <c r="C26" s="109" t="s">
        <v>218</v>
      </c>
      <c r="D26" s="109" t="s">
        <v>219</v>
      </c>
      <c r="E26" s="111">
        <v>5.9808E-2</v>
      </c>
      <c r="F26" s="112">
        <f>ROUND( 12.43 * 13.51, 2 )</f>
        <v>167.93</v>
      </c>
      <c r="G26" s="196">
        <f>ROUND(E26*F26,0)</f>
        <v>10</v>
      </c>
      <c r="H26" s="197" t="s">
        <v>418</v>
      </c>
      <c r="I26" s="197" t="s">
        <v>405</v>
      </c>
    </row>
    <row r="27" spans="1:255" s="42" customFormat="1" ht="24" x14ac:dyDescent="0.2">
      <c r="A27" s="195">
        <v>6</v>
      </c>
      <c r="B27" s="109" t="s">
        <v>222</v>
      </c>
      <c r="C27" s="109" t="s">
        <v>224</v>
      </c>
      <c r="D27" s="109" t="s">
        <v>219</v>
      </c>
      <c r="E27" s="111">
        <v>1.2767999999999988E-2</v>
      </c>
      <c r="F27" s="112">
        <f>ROUND( 93.37 * 13.51, 2 )</f>
        <v>1261.43</v>
      </c>
      <c r="G27" s="196">
        <f>ROUND(E27*F27,0)</f>
        <v>16</v>
      </c>
      <c r="H27" s="197" t="s">
        <v>419</v>
      </c>
      <c r="I27" s="197" t="s">
        <v>405</v>
      </c>
    </row>
    <row r="28" spans="1:255" x14ac:dyDescent="0.2">
      <c r="A28" s="32"/>
      <c r="B28" s="32"/>
      <c r="C28" s="192" t="s">
        <v>408</v>
      </c>
      <c r="D28" s="32"/>
      <c r="E28" s="32"/>
      <c r="F28" s="32"/>
      <c r="G28" s="193">
        <f>ROUND(SUM(G26:G27),0)</f>
        <v>26</v>
      </c>
      <c r="H28" s="32"/>
      <c r="I28" s="32"/>
      <c r="J28" s="22"/>
      <c r="K28" s="22"/>
      <c r="L28" s="191">
        <f>G28</f>
        <v>26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</row>
    <row r="29" spans="1:255" x14ac:dyDescent="0.2">
      <c r="A29" s="32"/>
      <c r="B29" s="32"/>
      <c r="C29" s="32"/>
      <c r="D29" s="32"/>
      <c r="E29" s="32"/>
      <c r="F29" s="32"/>
      <c r="G29" s="32"/>
      <c r="H29" s="32"/>
      <c r="I29" s="32"/>
    </row>
    <row r="30" spans="1:255" x14ac:dyDescent="0.2">
      <c r="A30" s="194"/>
      <c r="B30" s="194" t="s">
        <v>420</v>
      </c>
      <c r="C30" s="194"/>
      <c r="D30" s="194"/>
      <c r="E30" s="194"/>
      <c r="F30" s="194"/>
      <c r="G30" s="32"/>
      <c r="H30" s="32"/>
      <c r="I30" s="32"/>
    </row>
    <row r="31" spans="1:255" s="42" customFormat="1" ht="24" x14ac:dyDescent="0.2">
      <c r="A31" s="195">
        <v>7</v>
      </c>
      <c r="B31" s="109" t="s">
        <v>61</v>
      </c>
      <c r="C31" s="109" t="s">
        <v>62</v>
      </c>
      <c r="D31" s="109" t="s">
        <v>63</v>
      </c>
      <c r="E31" s="111">
        <v>10</v>
      </c>
      <c r="F31" s="112">
        <f>ROUND( 15.68 * 10.88, 2 )</f>
        <v>170.6</v>
      </c>
      <c r="G31" s="196">
        <f>ROUND(E31*F31,0)</f>
        <v>1706</v>
      </c>
      <c r="H31" s="119" t="s">
        <v>404</v>
      </c>
      <c r="I31" s="119" t="s">
        <v>405</v>
      </c>
    </row>
    <row r="32" spans="1:255" s="42" customFormat="1" ht="24" x14ac:dyDescent="0.2">
      <c r="A32" s="195">
        <v>8</v>
      </c>
      <c r="B32" s="109" t="s">
        <v>70</v>
      </c>
      <c r="C32" s="109" t="s">
        <v>71</v>
      </c>
      <c r="D32" s="109" t="s">
        <v>63</v>
      </c>
      <c r="E32" s="111">
        <v>26.879999999999995</v>
      </c>
      <c r="F32" s="112">
        <f>ROUND( 6.79 * 10.88, 2 )</f>
        <v>73.88</v>
      </c>
      <c r="G32" s="196">
        <f>ROUND(E32*F32,0)</f>
        <v>1986</v>
      </c>
      <c r="H32" s="119" t="s">
        <v>406</v>
      </c>
      <c r="I32" s="119" t="s">
        <v>405</v>
      </c>
    </row>
    <row r="33" spans="1:255" s="42" customFormat="1" ht="24" x14ac:dyDescent="0.2">
      <c r="A33" s="195">
        <v>9</v>
      </c>
      <c r="B33" s="109" t="s">
        <v>75</v>
      </c>
      <c r="C33" s="109" t="s">
        <v>76</v>
      </c>
      <c r="D33" s="109" t="s">
        <v>77</v>
      </c>
      <c r="E33" s="111">
        <v>2.8E-3</v>
      </c>
      <c r="F33" s="112">
        <f>ROUND( 1.38 * 10.88, 2 )</f>
        <v>15.01</v>
      </c>
      <c r="G33" s="196">
        <f>ROUND(E33*F33,0)</f>
        <v>0</v>
      </c>
      <c r="H33" s="119" t="s">
        <v>407</v>
      </c>
      <c r="I33" s="119" t="s">
        <v>405</v>
      </c>
    </row>
    <row r="34" spans="1:255" x14ac:dyDescent="0.2">
      <c r="A34" s="32"/>
      <c r="B34" s="32"/>
      <c r="C34" s="192" t="s">
        <v>408</v>
      </c>
      <c r="D34" s="32"/>
      <c r="E34" s="32"/>
      <c r="F34" s="32"/>
      <c r="G34" s="193">
        <f>ROUND(SUM(G31:G33),0)</f>
        <v>3692</v>
      </c>
      <c r="H34" s="32"/>
      <c r="I34" s="32"/>
      <c r="J34" s="22"/>
      <c r="K34" s="22"/>
      <c r="L34" s="22"/>
      <c r="M34" s="191">
        <f>G34</f>
        <v>3692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</row>
    <row r="36" spans="1:255" x14ac:dyDescent="0.2">
      <c r="C36" s="189" t="s">
        <v>139</v>
      </c>
      <c r="G36" s="190">
        <f>ROUND(SUM(K18:K36) + SUM(L18:L36) + SUM(M18:M36),0)</f>
        <v>5745</v>
      </c>
    </row>
    <row r="37" spans="1:255" x14ac:dyDescent="0.2">
      <c r="C37" s="202" t="s">
        <v>421</v>
      </c>
      <c r="G37" s="190"/>
    </row>
    <row r="38" spans="1:255" x14ac:dyDescent="0.2">
      <c r="C38" s="202" t="s">
        <v>287</v>
      </c>
      <c r="G38" s="190">
        <f>ROUND(SUM(K18:K38),0)</f>
        <v>2027</v>
      </c>
    </row>
    <row r="39" spans="1:255" x14ac:dyDescent="0.2">
      <c r="C39" s="202" t="s">
        <v>343</v>
      </c>
      <c r="G39" s="190">
        <f>ROUND(SUM(L18:L39),0)</f>
        <v>26</v>
      </c>
    </row>
    <row r="40" spans="1:255" x14ac:dyDescent="0.2">
      <c r="C40" s="202" t="s">
        <v>422</v>
      </c>
      <c r="G40" s="190">
        <f>ROUND(SUM(M18:M40),0)</f>
        <v>3692</v>
      </c>
    </row>
  </sheetData>
  <sortState xmlns:xlrd2="http://schemas.microsoft.com/office/spreadsheetml/2017/richdata2" ref="A31:IU33">
    <sortCondition ref="B31"/>
    <sortCondition ref="C31"/>
  </sortState>
  <mergeCells count="11">
    <mergeCell ref="A8:G8"/>
    <mergeCell ref="A9:G9"/>
    <mergeCell ref="B10:G10"/>
    <mergeCell ref="A12:G12"/>
    <mergeCell ref="A13:G13"/>
    <mergeCell ref="A7:G7"/>
    <mergeCell ref="A1:G1"/>
    <mergeCell ref="C3:G3"/>
    <mergeCell ref="C4:G4"/>
    <mergeCell ref="C5:G5"/>
    <mergeCell ref="A6:G6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24"/>
  <sheetViews>
    <sheetView workbookViewId="0">
      <selection activeCell="F28" sqref="F28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82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4" customFormat="1" ht="11.25" x14ac:dyDescent="0.2">
      <c r="A1" s="213" t="s">
        <v>248</v>
      </c>
      <c r="B1" s="213"/>
      <c r="C1" s="213"/>
      <c r="D1" s="213"/>
      <c r="E1" s="213"/>
      <c r="F1" s="213"/>
      <c r="G1" s="213"/>
    </row>
    <row r="3" spans="1:255" x14ac:dyDescent="0.2">
      <c r="A3" s="19" t="s">
        <v>255</v>
      </c>
      <c r="B3" s="18"/>
      <c r="C3" s="217"/>
      <c r="D3" s="218"/>
      <c r="E3" s="218"/>
      <c r="F3" s="218"/>
      <c r="G3" s="218"/>
      <c r="BR3" s="21">
        <f>C3</f>
        <v>0</v>
      </c>
      <c r="IU3" s="22"/>
    </row>
    <row r="4" spans="1:255" x14ac:dyDescent="0.2">
      <c r="A4" s="19" t="s">
        <v>257</v>
      </c>
      <c r="B4" s="18"/>
      <c r="C4" s="219"/>
      <c r="D4" s="220"/>
      <c r="E4" s="220"/>
      <c r="F4" s="220"/>
      <c r="G4" s="220"/>
      <c r="BR4" s="21">
        <f>C4</f>
        <v>0</v>
      </c>
      <c r="IU4" s="22"/>
    </row>
    <row r="5" spans="1:255" x14ac:dyDescent="0.2">
      <c r="A5" s="19" t="s">
        <v>259</v>
      </c>
      <c r="B5" s="18"/>
      <c r="C5" s="221"/>
      <c r="D5" s="222"/>
      <c r="E5" s="222"/>
      <c r="F5" s="222"/>
      <c r="G5" s="222"/>
      <c r="BR5" s="21">
        <f>C5</f>
        <v>0</v>
      </c>
      <c r="IU5" s="22"/>
    </row>
    <row r="6" spans="1:255" x14ac:dyDescent="0.2">
      <c r="A6" s="223"/>
      <c r="B6" s="223"/>
      <c r="C6" s="223"/>
      <c r="D6" s="223"/>
      <c r="E6" s="223"/>
      <c r="F6" s="223"/>
      <c r="G6" s="223"/>
    </row>
    <row r="7" spans="1:255" ht="18.75" x14ac:dyDescent="0.3">
      <c r="A7" s="224" t="s">
        <v>382</v>
      </c>
      <c r="B7" s="224"/>
      <c r="C7" s="224"/>
      <c r="D7" s="224"/>
      <c r="E7" s="224"/>
      <c r="F7" s="224"/>
      <c r="G7" s="224"/>
    </row>
    <row r="8" spans="1:255" x14ac:dyDescent="0.2">
      <c r="A8" s="225" t="s">
        <v>383</v>
      </c>
      <c r="B8" s="225"/>
      <c r="C8" s="225"/>
      <c r="D8" s="225"/>
      <c r="E8" s="225"/>
      <c r="F8" s="225"/>
      <c r="G8" s="225"/>
    </row>
    <row r="9" spans="1:255" x14ac:dyDescent="0.2">
      <c r="A9" s="225"/>
      <c r="B9" s="225"/>
      <c r="C9" s="225"/>
      <c r="D9" s="225"/>
      <c r="E9" s="225"/>
      <c r="F9" s="225"/>
      <c r="G9" s="225"/>
    </row>
    <row r="10" spans="1:255" ht="15.75" x14ac:dyDescent="0.25">
      <c r="A10" s="13" t="s">
        <v>261</v>
      </c>
      <c r="B10" s="226" t="s">
        <v>6</v>
      </c>
      <c r="C10" s="226"/>
      <c r="D10" s="226"/>
      <c r="E10" s="226"/>
      <c r="F10" s="226"/>
      <c r="G10" s="226"/>
      <c r="BS10" s="183" t="str">
        <f>B10</f>
        <v>ЛС Ремонт лестничных маршей</v>
      </c>
      <c r="IU10" s="22"/>
    </row>
    <row r="12" spans="1:255" x14ac:dyDescent="0.2">
      <c r="A12" s="229" t="s">
        <v>276</v>
      </c>
      <c r="B12" s="229"/>
      <c r="C12" s="229"/>
      <c r="D12" s="229"/>
      <c r="E12" s="229"/>
      <c r="F12" s="229"/>
      <c r="G12" s="229"/>
      <c r="BS12" s="180" t="str">
        <f>A12</f>
        <v>Составлено в уровне цен : I кв. 2026 г.</v>
      </c>
      <c r="IU12" s="22"/>
    </row>
    <row r="13" spans="1:255" x14ac:dyDescent="0.2">
      <c r="A13" s="229" t="s">
        <v>277</v>
      </c>
      <c r="B13" s="229"/>
      <c r="C13" s="229"/>
      <c r="D13" s="229"/>
      <c r="E13" s="229"/>
      <c r="F13" s="229"/>
      <c r="G13" s="229"/>
      <c r="BS13" s="180" t="str">
        <f>A13</f>
        <v>Наименование и редакция СНБ: ТСНБ ТЕР-2001 Орловской области (редакция 2014 г. от 2014.10.06)</v>
      </c>
      <c r="IU13" s="22"/>
    </row>
    <row r="14" spans="1:255" x14ac:dyDescent="0.2">
      <c r="A14" s="184" t="s">
        <v>384</v>
      </c>
      <c r="B14" s="184" t="s">
        <v>386</v>
      </c>
      <c r="C14" s="184" t="s">
        <v>389</v>
      </c>
      <c r="D14" s="184" t="s">
        <v>391</v>
      </c>
      <c r="E14" s="184" t="s">
        <v>394</v>
      </c>
      <c r="F14" s="184" t="s">
        <v>396</v>
      </c>
      <c r="G14" s="184" t="s">
        <v>398</v>
      </c>
      <c r="H14" s="184" t="s">
        <v>400</v>
      </c>
      <c r="I14" s="185" t="s">
        <v>365</v>
      </c>
    </row>
    <row r="15" spans="1:255" x14ac:dyDescent="0.2">
      <c r="A15" s="186" t="s">
        <v>385</v>
      </c>
      <c r="B15" s="186" t="s">
        <v>387</v>
      </c>
      <c r="C15" s="186" t="s">
        <v>390</v>
      </c>
      <c r="D15" s="186" t="s">
        <v>392</v>
      </c>
      <c r="E15" s="186" t="s">
        <v>395</v>
      </c>
      <c r="F15" s="186" t="s">
        <v>397</v>
      </c>
      <c r="G15" s="186" t="s">
        <v>399</v>
      </c>
      <c r="H15" s="186" t="s">
        <v>401</v>
      </c>
      <c r="I15" s="187" t="s">
        <v>307</v>
      </c>
    </row>
    <row r="16" spans="1:255" x14ac:dyDescent="0.2">
      <c r="A16" s="186"/>
      <c r="B16" s="186" t="s">
        <v>388</v>
      </c>
      <c r="C16" s="186"/>
      <c r="D16" s="186" t="s">
        <v>393</v>
      </c>
      <c r="E16" s="186"/>
      <c r="F16" s="186"/>
      <c r="G16" s="186" t="s">
        <v>397</v>
      </c>
      <c r="H16" s="186" t="s">
        <v>402</v>
      </c>
      <c r="I16" s="187"/>
    </row>
    <row r="17" spans="1:255" x14ac:dyDescent="0.2">
      <c r="A17" s="184">
        <v>1</v>
      </c>
      <c r="B17" s="184">
        <v>2</v>
      </c>
      <c r="C17" s="184">
        <v>3</v>
      </c>
      <c r="D17" s="184">
        <v>4</v>
      </c>
      <c r="E17" s="184">
        <v>5</v>
      </c>
      <c r="F17" s="184">
        <v>6</v>
      </c>
      <c r="G17" s="184">
        <v>7</v>
      </c>
      <c r="H17" s="184">
        <v>8</v>
      </c>
      <c r="I17" s="185">
        <v>9</v>
      </c>
    </row>
    <row r="18" spans="1:255" x14ac:dyDescent="0.2">
      <c r="A18" s="194"/>
      <c r="B18" s="194" t="s">
        <v>403</v>
      </c>
      <c r="C18" s="194"/>
      <c r="D18" s="194"/>
      <c r="E18" s="194"/>
      <c r="F18" s="194"/>
      <c r="G18" s="32"/>
      <c r="H18" s="32"/>
      <c r="I18" s="32"/>
    </row>
    <row r="19" spans="1:255" s="42" customFormat="1" ht="24" x14ac:dyDescent="0.2">
      <c r="A19" s="195">
        <v>1</v>
      </c>
      <c r="B19" s="109" t="s">
        <v>75</v>
      </c>
      <c r="C19" s="109" t="s">
        <v>76</v>
      </c>
      <c r="D19" s="109" t="s">
        <v>77</v>
      </c>
      <c r="E19" s="111">
        <f>O19</f>
        <v>2.8E-3</v>
      </c>
      <c r="F19" s="112">
        <v>0</v>
      </c>
      <c r="G19" s="196">
        <f>ROUND(E19*F19,0)</f>
        <v>0</v>
      </c>
      <c r="H19" s="119" t="s">
        <v>407</v>
      </c>
      <c r="I19" s="119" t="s">
        <v>405</v>
      </c>
      <c r="N19" s="188"/>
      <c r="O19" s="188">
        <f>SUM(P19:IV19)</f>
        <v>2.8E-3</v>
      </c>
      <c r="P19" s="188">
        <f>Source!I37</f>
        <v>2.8E-3</v>
      </c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  <c r="GY19" s="188"/>
      <c r="GZ19" s="188"/>
      <c r="HA19" s="188"/>
      <c r="HB19" s="188"/>
      <c r="HC19" s="188"/>
      <c r="HD19" s="188"/>
      <c r="HE19" s="188"/>
      <c r="HF19" s="188"/>
      <c r="HG19" s="188"/>
      <c r="HH19" s="188"/>
      <c r="HI19" s="188"/>
      <c r="HJ19" s="188"/>
      <c r="HK19" s="188"/>
      <c r="HL19" s="188"/>
      <c r="HM19" s="188"/>
      <c r="HN19" s="188"/>
      <c r="HO19" s="188"/>
      <c r="HP19" s="188"/>
      <c r="HQ19" s="188"/>
      <c r="HR19" s="188"/>
      <c r="HS19" s="188"/>
      <c r="HT19" s="188"/>
      <c r="HU19" s="188"/>
      <c r="HV19" s="188"/>
      <c r="HW19" s="188"/>
      <c r="HX19" s="188"/>
      <c r="HY19" s="188"/>
      <c r="HZ19" s="188"/>
      <c r="IA19" s="188"/>
      <c r="IB19" s="188"/>
      <c r="IC19" s="188"/>
      <c r="ID19" s="188"/>
      <c r="IE19" s="188"/>
      <c r="IF19" s="188"/>
      <c r="IG19" s="188"/>
      <c r="IH19" s="188"/>
      <c r="II19" s="188"/>
      <c r="IJ19" s="188"/>
      <c r="IK19" s="188"/>
      <c r="IL19" s="188"/>
      <c r="IM19" s="188"/>
      <c r="IN19" s="188"/>
      <c r="IO19" s="188"/>
      <c r="IP19" s="188"/>
      <c r="IQ19" s="188"/>
      <c r="IR19" s="188"/>
      <c r="IS19" s="188"/>
      <c r="IT19" s="188"/>
      <c r="IU19" s="188"/>
    </row>
    <row r="20" spans="1:255" s="42" customFormat="1" ht="24" x14ac:dyDescent="0.2">
      <c r="A20" s="195">
        <v>2</v>
      </c>
      <c r="B20" s="109" t="s">
        <v>70</v>
      </c>
      <c r="C20" s="109" t="s">
        <v>71</v>
      </c>
      <c r="D20" s="109" t="s">
        <v>63</v>
      </c>
      <c r="E20" s="111">
        <f>O20</f>
        <v>26.879999999999995</v>
      </c>
      <c r="F20" s="112">
        <v>0</v>
      </c>
      <c r="G20" s="196">
        <f>ROUND(E20*F20,0)</f>
        <v>0</v>
      </c>
      <c r="H20" s="119" t="s">
        <v>406</v>
      </c>
      <c r="I20" s="119" t="s">
        <v>405</v>
      </c>
      <c r="N20" s="188"/>
      <c r="O20" s="188">
        <f>SUM(P20:IV20)</f>
        <v>26.879999999999995</v>
      </c>
      <c r="P20" s="188">
        <f>Source!I35</f>
        <v>26.879999999999995</v>
      </c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188"/>
      <c r="DQ20" s="188"/>
      <c r="DR20" s="188"/>
      <c r="DS20" s="188"/>
      <c r="DT20" s="188"/>
      <c r="DU20" s="188"/>
      <c r="DV20" s="188"/>
      <c r="DW20" s="188"/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8"/>
      <c r="EI20" s="188"/>
      <c r="EJ20" s="188"/>
      <c r="EK20" s="188"/>
      <c r="EL20" s="188"/>
      <c r="EM20" s="188"/>
      <c r="EN20" s="188"/>
      <c r="EO20" s="188"/>
      <c r="EP20" s="188"/>
      <c r="EQ20" s="188"/>
      <c r="ER20" s="188"/>
      <c r="ES20" s="188"/>
      <c r="ET20" s="188"/>
      <c r="EU20" s="188"/>
      <c r="EV20" s="188"/>
      <c r="EW20" s="188"/>
      <c r="EX20" s="188"/>
      <c r="EY20" s="188"/>
      <c r="EZ20" s="188"/>
      <c r="FA20" s="188"/>
      <c r="FB20" s="188"/>
      <c r="FC20" s="188"/>
      <c r="FD20" s="188"/>
      <c r="FE20" s="188"/>
      <c r="FF20" s="188"/>
      <c r="FG20" s="188"/>
      <c r="FH20" s="188"/>
      <c r="FI20" s="188"/>
      <c r="FJ20" s="188"/>
      <c r="FK20" s="188"/>
      <c r="FL20" s="188"/>
      <c r="FM20" s="188"/>
      <c r="FN20" s="188"/>
      <c r="FO20" s="188"/>
      <c r="FP20" s="188"/>
      <c r="FQ20" s="188"/>
      <c r="FR20" s="188"/>
      <c r="FS20" s="188"/>
      <c r="FT20" s="188"/>
      <c r="FU20" s="188"/>
      <c r="FV20" s="188"/>
      <c r="FW20" s="188"/>
      <c r="FX20" s="188"/>
      <c r="FY20" s="188"/>
      <c r="FZ20" s="188"/>
      <c r="GA20" s="188"/>
      <c r="GB20" s="188"/>
      <c r="GC20" s="188"/>
      <c r="GD20" s="188"/>
      <c r="GE20" s="188"/>
      <c r="GF20" s="188"/>
      <c r="GG20" s="188"/>
      <c r="GH20" s="188"/>
      <c r="GI20" s="188"/>
      <c r="GJ20" s="188"/>
      <c r="GK20" s="188"/>
      <c r="GL20" s="188"/>
      <c r="GM20" s="188"/>
      <c r="GN20" s="188"/>
      <c r="GO20" s="188"/>
      <c r="GP20" s="188"/>
      <c r="GQ20" s="188"/>
      <c r="GR20" s="188"/>
      <c r="GS20" s="188"/>
      <c r="GT20" s="188"/>
      <c r="GU20" s="188"/>
      <c r="GV20" s="188"/>
      <c r="GW20" s="188"/>
      <c r="GX20" s="188"/>
      <c r="GY20" s="188"/>
      <c r="GZ20" s="188"/>
      <c r="HA20" s="188"/>
      <c r="HB20" s="188"/>
      <c r="HC20" s="188"/>
      <c r="HD20" s="188"/>
      <c r="HE20" s="188"/>
      <c r="HF20" s="188"/>
      <c r="HG20" s="188"/>
      <c r="HH20" s="188"/>
      <c r="HI20" s="188"/>
      <c r="HJ20" s="188"/>
      <c r="HK20" s="188"/>
      <c r="HL20" s="188"/>
      <c r="HM20" s="188"/>
      <c r="HN20" s="188"/>
      <c r="HO20" s="188"/>
      <c r="HP20" s="188"/>
      <c r="HQ20" s="188"/>
      <c r="HR20" s="188"/>
      <c r="HS20" s="188"/>
      <c r="HT20" s="188"/>
      <c r="HU20" s="188"/>
      <c r="HV20" s="188"/>
      <c r="HW20" s="188"/>
      <c r="HX20" s="188"/>
      <c r="HY20" s="188"/>
      <c r="HZ20" s="188"/>
      <c r="IA20" s="188"/>
      <c r="IB20" s="188"/>
      <c r="IC20" s="188"/>
      <c r="ID20" s="188"/>
      <c r="IE20" s="188"/>
      <c r="IF20" s="188"/>
      <c r="IG20" s="188"/>
      <c r="IH20" s="188"/>
      <c r="II20" s="188"/>
      <c r="IJ20" s="188"/>
      <c r="IK20" s="188"/>
      <c r="IL20" s="188"/>
      <c r="IM20" s="188"/>
      <c r="IN20" s="188"/>
      <c r="IO20" s="188"/>
      <c r="IP20" s="188"/>
      <c r="IQ20" s="188"/>
      <c r="IR20" s="188"/>
      <c r="IS20" s="188"/>
      <c r="IT20" s="188"/>
      <c r="IU20" s="188"/>
    </row>
    <row r="21" spans="1:255" s="42" customFormat="1" ht="24" x14ac:dyDescent="0.2">
      <c r="A21" s="195">
        <v>3</v>
      </c>
      <c r="B21" s="109" t="s">
        <v>61</v>
      </c>
      <c r="C21" s="109" t="s">
        <v>62</v>
      </c>
      <c r="D21" s="109" t="s">
        <v>63</v>
      </c>
      <c r="E21" s="111">
        <f>O21</f>
        <v>10</v>
      </c>
      <c r="F21" s="112">
        <v>0</v>
      </c>
      <c r="G21" s="196">
        <f>ROUND(E21*F21,0)</f>
        <v>0</v>
      </c>
      <c r="H21" s="119" t="s">
        <v>404</v>
      </c>
      <c r="I21" s="119" t="s">
        <v>405</v>
      </c>
      <c r="N21" s="188"/>
      <c r="O21" s="188">
        <f>SUM(P21:IV21)</f>
        <v>10</v>
      </c>
      <c r="P21" s="188">
        <f>Source!I33</f>
        <v>10</v>
      </c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8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8"/>
      <c r="FG21" s="188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8"/>
      <c r="GK21" s="188"/>
      <c r="GL21" s="188"/>
      <c r="GM21" s="188"/>
      <c r="GN21" s="188"/>
      <c r="GO21" s="188"/>
      <c r="GP21" s="188"/>
      <c r="GQ21" s="188"/>
      <c r="GR21" s="188"/>
      <c r="GS21" s="188"/>
      <c r="GT21" s="188"/>
      <c r="GU21" s="188"/>
      <c r="GV21" s="188"/>
      <c r="GW21" s="188"/>
      <c r="GX21" s="188"/>
      <c r="GY21" s="188"/>
      <c r="GZ21" s="188"/>
      <c r="HA21" s="188"/>
      <c r="HB21" s="188"/>
      <c r="HC21" s="188"/>
      <c r="HD21" s="188"/>
      <c r="HE21" s="188"/>
      <c r="HF21" s="188"/>
      <c r="HG21" s="188"/>
      <c r="HH21" s="188"/>
      <c r="HI21" s="188"/>
      <c r="HJ21" s="188"/>
      <c r="HK21" s="188"/>
      <c r="HL21" s="188"/>
      <c r="HM21" s="188"/>
      <c r="HN21" s="188"/>
      <c r="HO21" s="188"/>
      <c r="HP21" s="188"/>
      <c r="HQ21" s="188"/>
      <c r="HR21" s="188"/>
      <c r="HS21" s="188"/>
      <c r="HT21" s="188"/>
      <c r="HU21" s="188"/>
      <c r="HV21" s="188"/>
      <c r="HW21" s="188"/>
      <c r="HX21" s="188"/>
      <c r="HY21" s="188"/>
      <c r="HZ21" s="188"/>
      <c r="IA21" s="188"/>
      <c r="IB21" s="188"/>
      <c r="IC21" s="188"/>
      <c r="ID21" s="188"/>
      <c r="IE21" s="188"/>
      <c r="IF21" s="188"/>
      <c r="IG21" s="188"/>
      <c r="IH21" s="188"/>
      <c r="II21" s="188"/>
      <c r="IJ21" s="188"/>
      <c r="IK21" s="188"/>
      <c r="IL21" s="188"/>
      <c r="IM21" s="188"/>
      <c r="IN21" s="188"/>
      <c r="IO21" s="188"/>
      <c r="IP21" s="188"/>
      <c r="IQ21" s="188"/>
      <c r="IR21" s="188"/>
      <c r="IS21" s="188"/>
      <c r="IT21" s="188"/>
      <c r="IU21" s="188"/>
    </row>
    <row r="22" spans="1:255" x14ac:dyDescent="0.2">
      <c r="A22" s="32"/>
      <c r="B22" s="32"/>
      <c r="C22" s="192" t="s">
        <v>408</v>
      </c>
      <c r="D22" s="32"/>
      <c r="E22" s="32"/>
      <c r="F22" s="32"/>
      <c r="G22" s="193">
        <f>ROUND(SUM(G19:G21),0)</f>
        <v>0</v>
      </c>
      <c r="H22" s="32"/>
      <c r="I22" s="32"/>
      <c r="J22" s="22"/>
      <c r="K22" s="22"/>
      <c r="L22" s="22"/>
      <c r="M22" s="191">
        <f>G22</f>
        <v>0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</row>
    <row r="24" spans="1:255" x14ac:dyDescent="0.2">
      <c r="C24" s="189" t="s">
        <v>139</v>
      </c>
      <c r="G24" s="190">
        <f>ROUND(SUM(M18:M24),0)</f>
        <v>0</v>
      </c>
    </row>
  </sheetData>
  <sortState xmlns:xlrd2="http://schemas.microsoft.com/office/spreadsheetml/2017/richdata2" ref="A19:IU21">
    <sortCondition ref="C19"/>
    <sortCondition ref="D19"/>
  </sortState>
  <mergeCells count="11">
    <mergeCell ref="A8:G8"/>
    <mergeCell ref="A9:G9"/>
    <mergeCell ref="B10:G10"/>
    <mergeCell ref="A12:G12"/>
    <mergeCell ref="A13:G13"/>
    <mergeCell ref="A7:G7"/>
    <mergeCell ref="A1:G1"/>
    <mergeCell ref="C3:G3"/>
    <mergeCell ref="C4:G4"/>
    <mergeCell ref="C5:G5"/>
    <mergeCell ref="A6:G6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181"/>
  <sheetViews>
    <sheetView tabSelected="1" zoomScaleNormal="100" workbookViewId="0">
      <selection activeCell="F95" sqref="F95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0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4" customFormat="1" ht="11.25" x14ac:dyDescent="0.2">
      <c r="A1" s="14" t="s">
        <v>248</v>
      </c>
    </row>
    <row r="2" spans="1:255" hidden="1" outlineLevel="1" x14ac:dyDescent="0.2">
      <c r="H2" s="232" t="s">
        <v>249</v>
      </c>
      <c r="I2" s="232"/>
      <c r="J2" s="232"/>
      <c r="K2" s="232"/>
    </row>
    <row r="3" spans="1:255" hidden="1" outlineLevel="1" x14ac:dyDescent="0.2">
      <c r="H3" s="232" t="s">
        <v>250</v>
      </c>
      <c r="I3" s="232"/>
      <c r="J3" s="232"/>
      <c r="K3" s="232"/>
    </row>
    <row r="4" spans="1:255" hidden="1" outlineLevel="1" x14ac:dyDescent="0.2">
      <c r="H4" s="232" t="s">
        <v>251</v>
      </c>
      <c r="I4" s="232"/>
      <c r="J4" s="232"/>
      <c r="K4" s="232"/>
    </row>
    <row r="5" spans="1:255" s="13" customFormat="1" ht="11.25" hidden="1" outlineLevel="1" x14ac:dyDescent="0.2">
      <c r="J5" s="233" t="s">
        <v>252</v>
      </c>
      <c r="K5" s="234"/>
    </row>
    <row r="6" spans="1:255" s="15" customFormat="1" ht="9.75" hidden="1" outlineLevel="1" x14ac:dyDescent="0.2">
      <c r="I6" s="16" t="s">
        <v>253</v>
      </c>
      <c r="J6" s="235" t="s">
        <v>254</v>
      </c>
      <c r="K6" s="236"/>
    </row>
    <row r="7" spans="1:255" hidden="1" outlineLevel="1" x14ac:dyDescent="0.2">
      <c r="A7" s="20" t="s">
        <v>255</v>
      </c>
      <c r="B7" s="18"/>
      <c r="C7" s="217"/>
      <c r="D7" s="218"/>
      <c r="E7" s="218"/>
      <c r="F7" s="218"/>
      <c r="G7" s="218"/>
      <c r="I7" s="16" t="s">
        <v>256</v>
      </c>
      <c r="J7" s="230"/>
      <c r="K7" s="231"/>
      <c r="BR7" s="21">
        <f>C7</f>
        <v>0</v>
      </c>
      <c r="IU7" s="22"/>
    </row>
    <row r="8" spans="1:255" hidden="1" outlineLevel="1" x14ac:dyDescent="0.2">
      <c r="A8" s="20" t="s">
        <v>257</v>
      </c>
      <c r="B8" s="18"/>
      <c r="C8" s="219"/>
      <c r="D8" s="220"/>
      <c r="E8" s="220"/>
      <c r="F8" s="220"/>
      <c r="G8" s="220"/>
      <c r="I8" s="16" t="s">
        <v>256</v>
      </c>
      <c r="J8" s="230"/>
      <c r="K8" s="231"/>
      <c r="BR8" s="21">
        <f>C8</f>
        <v>0</v>
      </c>
      <c r="IU8" s="22"/>
    </row>
    <row r="9" spans="1:255" hidden="1" outlineLevel="1" x14ac:dyDescent="0.2">
      <c r="A9" s="20" t="s">
        <v>258</v>
      </c>
      <c r="B9" s="18"/>
      <c r="C9" s="219"/>
      <c r="D9" s="220"/>
      <c r="E9" s="220"/>
      <c r="F9" s="220"/>
      <c r="G9" s="220"/>
      <c r="I9" s="16" t="s">
        <v>256</v>
      </c>
      <c r="J9" s="230"/>
      <c r="K9" s="231"/>
      <c r="BR9" s="21">
        <f>C9</f>
        <v>0</v>
      </c>
      <c r="IU9" s="22"/>
    </row>
    <row r="10" spans="1:255" hidden="1" outlineLevel="1" x14ac:dyDescent="0.2">
      <c r="A10" s="20" t="s">
        <v>259</v>
      </c>
      <c r="B10" s="18"/>
      <c r="C10" s="219"/>
      <c r="D10" s="220"/>
      <c r="E10" s="220"/>
      <c r="F10" s="220"/>
      <c r="G10" s="220"/>
      <c r="I10" s="16" t="s">
        <v>256</v>
      </c>
      <c r="J10" s="230"/>
      <c r="K10" s="231"/>
      <c r="BR10" s="21">
        <f>C10</f>
        <v>0</v>
      </c>
      <c r="IU10" s="22"/>
    </row>
    <row r="11" spans="1:255" hidden="1" outlineLevel="1" x14ac:dyDescent="0.2">
      <c r="A11" s="20" t="s">
        <v>260</v>
      </c>
      <c r="C11" s="237"/>
      <c r="D11" s="237"/>
      <c r="E11" s="237"/>
      <c r="F11" s="237"/>
      <c r="G11" s="237"/>
      <c r="J11" s="230"/>
      <c r="K11" s="238"/>
      <c r="BS11" s="25">
        <f>C11</f>
        <v>0</v>
      </c>
      <c r="IU11" s="22"/>
    </row>
    <row r="12" spans="1:255" hidden="1" outlineLevel="1" x14ac:dyDescent="0.2">
      <c r="A12" s="20" t="s">
        <v>261</v>
      </c>
      <c r="C12" s="237" t="s">
        <v>6</v>
      </c>
      <c r="D12" s="237"/>
      <c r="E12" s="237"/>
      <c r="F12" s="237"/>
      <c r="G12" s="237"/>
      <c r="J12" s="230"/>
      <c r="K12" s="238"/>
      <c r="BS12" s="25" t="str">
        <f>C12</f>
        <v>ЛС Ремонт лестничных маршей</v>
      </c>
      <c r="IU12" s="22"/>
    </row>
    <row r="13" spans="1:255" hidden="1" outlineLevel="1" x14ac:dyDescent="0.2">
      <c r="A13" s="20" t="s">
        <v>262</v>
      </c>
      <c r="C13" s="239" t="s">
        <v>263</v>
      </c>
      <c r="D13" s="240"/>
      <c r="E13" s="240"/>
      <c r="F13" s="240"/>
      <c r="G13" s="240"/>
      <c r="I13" s="16" t="s">
        <v>264</v>
      </c>
      <c r="J13" s="230"/>
      <c r="K13" s="238"/>
      <c r="BS13" s="26" t="str">
        <f>C13</f>
        <v xml:space="preserve"> ЛС Ремонт лестничных маршей</v>
      </c>
      <c r="IU13" s="22"/>
    </row>
    <row r="14" spans="1:255" hidden="1" outlineLevel="1" x14ac:dyDescent="0.2">
      <c r="G14" s="242" t="s">
        <v>265</v>
      </c>
      <c r="H14" s="242"/>
      <c r="I14" s="27" t="s">
        <v>266</v>
      </c>
      <c r="J14" s="243"/>
      <c r="K14" s="244"/>
      <c r="BW14" s="29">
        <f>J14</f>
        <v>0</v>
      </c>
      <c r="IU14" s="22"/>
    </row>
    <row r="15" spans="1:255" hidden="1" outlineLevel="1" x14ac:dyDescent="0.2">
      <c r="I15" s="28" t="s">
        <v>267</v>
      </c>
      <c r="J15" s="245"/>
      <c r="K15" s="246"/>
    </row>
    <row r="16" spans="1:255" s="15" customFormat="1" ht="11.25" hidden="1" outlineLevel="1" x14ac:dyDescent="0.2">
      <c r="I16" s="16" t="s">
        <v>268</v>
      </c>
      <c r="J16" s="247"/>
      <c r="K16" s="248"/>
    </row>
    <row r="17" spans="1:255" hidden="1" outlineLevel="1" x14ac:dyDescent="0.2"/>
    <row r="18" spans="1:255" hidden="1" outlineLevel="1" x14ac:dyDescent="0.2">
      <c r="G18" s="249" t="s">
        <v>269</v>
      </c>
      <c r="H18" s="249" t="s">
        <v>270</v>
      </c>
      <c r="I18" s="251" t="s">
        <v>271</v>
      </c>
      <c r="J18" s="252"/>
    </row>
    <row r="19" spans="1:255" ht="13.5" hidden="1" outlineLevel="1" thickBot="1" x14ac:dyDescent="0.25">
      <c r="G19" s="250"/>
      <c r="H19" s="250"/>
      <c r="I19" s="33" t="s">
        <v>272</v>
      </c>
      <c r="J19" s="34" t="s">
        <v>273</v>
      </c>
    </row>
    <row r="20" spans="1:255" ht="19.5" hidden="1" outlineLevel="1" thickBot="1" x14ac:dyDescent="0.35">
      <c r="C20" s="224" t="s">
        <v>274</v>
      </c>
      <c r="D20" s="224"/>
      <c r="E20" s="224"/>
      <c r="F20" s="224"/>
      <c r="G20" s="36"/>
      <c r="H20" s="37"/>
      <c r="I20" s="38"/>
      <c r="J20" s="39"/>
      <c r="K20" s="40"/>
    </row>
    <row r="21" spans="1:255" ht="15.75" hidden="1" outlineLevel="1" x14ac:dyDescent="0.25">
      <c r="C21" s="253" t="s">
        <v>275</v>
      </c>
      <c r="D21" s="253"/>
      <c r="E21" s="253"/>
      <c r="F21" s="253"/>
    </row>
    <row r="22" spans="1:255" hidden="1" outlineLevel="1" x14ac:dyDescent="0.2">
      <c r="C22" s="225"/>
      <c r="D22" s="223"/>
      <c r="E22" s="223"/>
      <c r="F22" s="223"/>
    </row>
    <row r="23" spans="1:255" hidden="1" outlineLevel="1" x14ac:dyDescent="0.2">
      <c r="C23" s="254" t="s">
        <v>15</v>
      </c>
      <c r="D23" s="255"/>
      <c r="E23" s="255"/>
      <c r="F23" s="255"/>
      <c r="BU23" s="21">
        <f>A23</f>
        <v>0</v>
      </c>
      <c r="IU23" s="22"/>
    </row>
    <row r="24" spans="1:255" hidden="1" outlineLevel="1" x14ac:dyDescent="0.2">
      <c r="A24" s="15" t="s">
        <v>276</v>
      </c>
    </row>
    <row r="25" spans="1:255" hidden="1" outlineLevel="1" x14ac:dyDescent="0.2">
      <c r="A25" s="15" t="s">
        <v>277</v>
      </c>
    </row>
    <row r="26" spans="1:255" hidden="1" outlineLevel="1" x14ac:dyDescent="0.2">
      <c r="A26" s="15" t="s">
        <v>278</v>
      </c>
      <c r="B26" s="15"/>
      <c r="C26" s="15"/>
      <c r="D26" s="15"/>
      <c r="E26" s="256">
        <f>K155/1000</f>
        <v>3.6920000000000002</v>
      </c>
      <c r="F26" s="256"/>
      <c r="G26" s="15" t="s">
        <v>279</v>
      </c>
      <c r="H26" s="15"/>
      <c r="I26" s="15"/>
      <c r="J26" s="15"/>
      <c r="K26" s="15"/>
    </row>
    <row r="27" spans="1:255" collapsed="1" x14ac:dyDescent="0.2"/>
    <row r="28" spans="1:255" outlineLevel="1" x14ac:dyDescent="0.2">
      <c r="K28" s="41" t="s">
        <v>280</v>
      </c>
    </row>
    <row r="29" spans="1:255" outlineLevel="1" x14ac:dyDescent="0.2">
      <c r="A29" s="20" t="s">
        <v>260</v>
      </c>
      <c r="C29" s="241"/>
      <c r="D29" s="241"/>
      <c r="E29" s="241"/>
      <c r="F29" s="241"/>
      <c r="G29" s="241"/>
      <c r="H29" s="241"/>
      <c r="I29" s="241"/>
      <c r="J29" s="241"/>
      <c r="K29" s="241"/>
      <c r="BT29" s="43">
        <f>C29</f>
        <v>0</v>
      </c>
      <c r="IU29" s="22"/>
    </row>
    <row r="30" spans="1:255" outlineLevel="1" x14ac:dyDescent="0.2">
      <c r="A30" s="20" t="s">
        <v>261</v>
      </c>
      <c r="C30" s="241" t="s">
        <v>6</v>
      </c>
      <c r="D30" s="241"/>
      <c r="E30" s="241"/>
      <c r="F30" s="241"/>
      <c r="G30" s="241"/>
      <c r="H30" s="241"/>
      <c r="I30" s="241"/>
      <c r="J30" s="241"/>
      <c r="K30" s="241"/>
      <c r="BT30" s="43" t="str">
        <f>C30</f>
        <v>ЛС Ремонт лестничных маршей</v>
      </c>
      <c r="IU30" s="22"/>
    </row>
    <row r="31" spans="1:255" outlineLevel="1" x14ac:dyDescent="0.2">
      <c r="A31" s="20" t="s">
        <v>262</v>
      </c>
      <c r="C31" s="259" t="s">
        <v>281</v>
      </c>
      <c r="D31" s="241"/>
      <c r="E31" s="241"/>
      <c r="F31" s="241"/>
      <c r="G31" s="241"/>
      <c r="H31" s="241"/>
      <c r="I31" s="241"/>
      <c r="J31" s="241"/>
      <c r="K31" s="241"/>
      <c r="BT31" s="44" t="str">
        <f>C31</f>
        <v xml:space="preserve"> ЛС Ремонт лестничных маршей </v>
      </c>
      <c r="IU31" s="22"/>
    </row>
    <row r="32" spans="1:255" outlineLevel="1" x14ac:dyDescent="0.2"/>
    <row r="33" spans="1:255" ht="18.75" outlineLevel="1" x14ac:dyDescent="0.3">
      <c r="A33" s="224" t="s">
        <v>443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4"/>
    </row>
    <row r="34" spans="1:255" outlineLevel="1" x14ac:dyDescent="0.2">
      <c r="A34" s="260" t="s">
        <v>15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BV34" s="25" t="str">
        <f>A34</f>
        <v>Ремонт лестничных маршей ЛМП 57.11.15-5 ( на 1 лестничный марш)</v>
      </c>
      <c r="IU34" s="22"/>
    </row>
    <row r="35" spans="1:255" outlineLevel="1" x14ac:dyDescent="0.2">
      <c r="A35" s="20" t="s">
        <v>282</v>
      </c>
      <c r="C35" s="241" t="s">
        <v>7</v>
      </c>
      <c r="D35" s="241"/>
      <c r="E35" s="241"/>
      <c r="F35" s="241"/>
      <c r="G35" s="241"/>
      <c r="H35" s="241"/>
      <c r="I35" s="241"/>
      <c r="J35" s="241"/>
      <c r="K35" s="241"/>
      <c r="BT35" s="43" t="str">
        <f>C35</f>
        <v>Заявка №5795 от 27.03.2026г., ТЗ</v>
      </c>
      <c r="IU35" s="22"/>
    </row>
    <row r="36" spans="1:255" outlineLevel="1" x14ac:dyDescent="0.2">
      <c r="I36" s="45" t="s">
        <v>283</v>
      </c>
      <c r="J36" s="45" t="s">
        <v>284</v>
      </c>
    </row>
    <row r="37" spans="1:255" outlineLevel="1" x14ac:dyDescent="0.2">
      <c r="G37" s="35" t="s">
        <v>285</v>
      </c>
      <c r="H37" s="35"/>
      <c r="I37" s="46">
        <f>I155/1000</f>
        <v>0.46899999999999997</v>
      </c>
      <c r="J37" s="46">
        <f>K155/1000</f>
        <v>3.6920000000000002</v>
      </c>
      <c r="K37" s="35" t="s">
        <v>286</v>
      </c>
    </row>
    <row r="38" spans="1:255" outlineLevel="1" x14ac:dyDescent="0.2">
      <c r="G38" s="15" t="s">
        <v>287</v>
      </c>
      <c r="H38" s="15"/>
      <c r="I38" s="47">
        <f>SUM(GK47:GK99)/1000</f>
        <v>0</v>
      </c>
      <c r="J38" s="47">
        <f>(Source!DK43)/1000</f>
        <v>0</v>
      </c>
      <c r="K38" s="15" t="s">
        <v>286</v>
      </c>
    </row>
    <row r="39" spans="1:255" outlineLevel="1" x14ac:dyDescent="0.2">
      <c r="G39" s="15" t="s">
        <v>288</v>
      </c>
      <c r="H39" s="15"/>
      <c r="I39" s="47">
        <f>Source!DM43</f>
        <v>6.5289120000000009</v>
      </c>
      <c r="J39" s="47">
        <f>Source!DM43</f>
        <v>6.5289120000000009</v>
      </c>
      <c r="K39" s="15" t="s">
        <v>289</v>
      </c>
    </row>
    <row r="40" spans="1:255" outlineLevel="1" x14ac:dyDescent="0.2">
      <c r="A40" s="15" t="s">
        <v>290</v>
      </c>
    </row>
    <row r="41" spans="1:255" ht="13.5" outlineLevel="1" thickBot="1" x14ac:dyDescent="0.25">
      <c r="A41" s="15" t="s">
        <v>277</v>
      </c>
    </row>
    <row r="42" spans="1:255" x14ac:dyDescent="0.2">
      <c r="A42" s="261" t="s">
        <v>291</v>
      </c>
      <c r="B42" s="263" t="s">
        <v>292</v>
      </c>
      <c r="C42" s="263" t="s">
        <v>293</v>
      </c>
      <c r="D42" s="263" t="s">
        <v>294</v>
      </c>
      <c r="E42" s="263" t="s">
        <v>295</v>
      </c>
      <c r="F42" s="263" t="s">
        <v>296</v>
      </c>
      <c r="G42" s="263" t="s">
        <v>297</v>
      </c>
      <c r="H42" s="263" t="s">
        <v>298</v>
      </c>
      <c r="I42" s="263" t="s">
        <v>299</v>
      </c>
      <c r="J42" s="263" t="s">
        <v>300</v>
      </c>
      <c r="K42" s="257" t="s">
        <v>301</v>
      </c>
    </row>
    <row r="43" spans="1:255" x14ac:dyDescent="0.2">
      <c r="A43" s="262"/>
      <c r="B43" s="264"/>
      <c r="C43" s="264"/>
      <c r="D43" s="264"/>
      <c r="E43" s="264"/>
      <c r="F43" s="264"/>
      <c r="G43" s="264"/>
      <c r="H43" s="264"/>
      <c r="I43" s="264"/>
      <c r="J43" s="264"/>
      <c r="K43" s="258"/>
    </row>
    <row r="44" spans="1:255" x14ac:dyDescent="0.2">
      <c r="A44" s="262"/>
      <c r="B44" s="264"/>
      <c r="C44" s="264"/>
      <c r="D44" s="264"/>
      <c r="E44" s="264"/>
      <c r="F44" s="264"/>
      <c r="G44" s="264"/>
      <c r="H44" s="264"/>
      <c r="I44" s="264"/>
      <c r="J44" s="264"/>
      <c r="K44" s="258"/>
    </row>
    <row r="45" spans="1:255" ht="13.5" thickBot="1" x14ac:dyDescent="0.25">
      <c r="A45" s="262"/>
      <c r="B45" s="264"/>
      <c r="C45" s="264"/>
      <c r="D45" s="264"/>
      <c r="E45" s="264"/>
      <c r="F45" s="264"/>
      <c r="G45" s="264"/>
      <c r="H45" s="264"/>
      <c r="I45" s="264"/>
      <c r="J45" s="264"/>
      <c r="K45" s="258"/>
    </row>
    <row r="46" spans="1:255" ht="13.5" thickBot="1" x14ac:dyDescent="0.25">
      <c r="A46" s="48">
        <v>1</v>
      </c>
      <c r="B46" s="48">
        <v>2</v>
      </c>
      <c r="C46" s="48">
        <v>3</v>
      </c>
      <c r="D46" s="48">
        <v>4</v>
      </c>
      <c r="E46" s="48">
        <v>5</v>
      </c>
      <c r="F46" s="48">
        <v>6</v>
      </c>
      <c r="G46" s="48">
        <v>7</v>
      </c>
      <c r="H46" s="48">
        <v>8</v>
      </c>
      <c r="I46" s="48">
        <v>9</v>
      </c>
      <c r="J46" s="48">
        <v>10</v>
      </c>
      <c r="K46" s="48">
        <v>11</v>
      </c>
    </row>
    <row r="47" spans="1:255" ht="56.25" x14ac:dyDescent="0.2">
      <c r="A47" s="49">
        <v>1</v>
      </c>
      <c r="B47" s="57" t="s">
        <v>17</v>
      </c>
      <c r="C47" s="50" t="s">
        <v>18</v>
      </c>
      <c r="D47" s="51" t="s">
        <v>19</v>
      </c>
      <c r="E47" s="52">
        <v>8.4000000000000005E-2</v>
      </c>
      <c r="F47" s="53">
        <f>Source!AK25</f>
        <v>0</v>
      </c>
      <c r="G47" s="58" t="s">
        <v>3</v>
      </c>
      <c r="H47" s="53"/>
      <c r="I47" s="54">
        <f>SUM(DQ47:DQ51)</f>
        <v>0</v>
      </c>
      <c r="J47" s="55"/>
      <c r="K47" s="56">
        <f>SUM(DS47:DS51)</f>
        <v>0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</row>
    <row r="48" spans="1:255" x14ac:dyDescent="0.2">
      <c r="A48" s="62"/>
      <c r="B48" s="63"/>
      <c r="C48" s="63" t="s">
        <v>305</v>
      </c>
      <c r="D48" s="64"/>
      <c r="E48" s="65"/>
      <c r="F48" s="66">
        <v>0</v>
      </c>
      <c r="G48" s="67"/>
      <c r="H48" s="66">
        <f>Source!AF25</f>
        <v>0</v>
      </c>
      <c r="I48" s="68">
        <f>T48</f>
        <v>0</v>
      </c>
      <c r="J48" s="69">
        <v>36.99</v>
      </c>
      <c r="K48" s="70">
        <f>U48</f>
        <v>0</v>
      </c>
      <c r="O48" s="22"/>
      <c r="P48" s="22"/>
      <c r="Q48" s="22"/>
      <c r="R48" s="22"/>
      <c r="S48" s="22"/>
      <c r="T48" s="22">
        <f>ROUND(Source!AF25*Source!AV25*Source!I25,0)</f>
        <v>0</v>
      </c>
      <c r="U48" s="22">
        <f>Source!S25</f>
        <v>0</v>
      </c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>
        <v>1</v>
      </c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>
        <f>Source!S25</f>
        <v>0</v>
      </c>
      <c r="DH48" s="22">
        <v>1</v>
      </c>
      <c r="DI48" s="22"/>
      <c r="DJ48" s="22"/>
      <c r="DK48" s="22"/>
      <c r="DL48" s="22"/>
      <c r="DM48" s="22"/>
      <c r="DN48" s="22"/>
      <c r="DO48" s="22"/>
      <c r="DP48" s="22"/>
      <c r="DQ48" s="22">
        <f>T48</f>
        <v>0</v>
      </c>
      <c r="DR48" s="22"/>
      <c r="DS48" s="22">
        <f>U48</f>
        <v>0</v>
      </c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>
        <f>T48</f>
        <v>0</v>
      </c>
      <c r="GK48" s="22">
        <f>T48</f>
        <v>0</v>
      </c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>
        <f>T48</f>
        <v>0</v>
      </c>
      <c r="HC48" s="22"/>
      <c r="HD48" s="22"/>
      <c r="HE48" s="22"/>
      <c r="HF48" s="22">
        <f>T48</f>
        <v>0</v>
      </c>
      <c r="HG48" s="22"/>
      <c r="HH48" s="22"/>
      <c r="HI48" s="22"/>
      <c r="HJ48" s="22"/>
      <c r="HK48" s="22"/>
      <c r="HL48" s="22">
        <f>T48</f>
        <v>0</v>
      </c>
      <c r="HM48" s="22"/>
      <c r="HN48" s="22">
        <f>T48</f>
        <v>0</v>
      </c>
      <c r="HO48" s="22"/>
      <c r="HP48" s="22"/>
      <c r="HQ48" s="22"/>
      <c r="HR48" s="22"/>
      <c r="HS48" s="22"/>
      <c r="HT48" s="22"/>
      <c r="HU48" s="22"/>
      <c r="HV48" s="22"/>
      <c r="HW48" s="22"/>
      <c r="HX48" s="22">
        <f>T48</f>
        <v>0</v>
      </c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</row>
    <row r="49" spans="1:255" x14ac:dyDescent="0.2">
      <c r="A49" s="81"/>
      <c r="B49" s="82"/>
      <c r="C49" s="82" t="s">
        <v>306</v>
      </c>
      <c r="D49" s="83"/>
      <c r="E49" s="84">
        <v>90</v>
      </c>
      <c r="F49" s="85" t="s">
        <v>307</v>
      </c>
      <c r="G49" s="86"/>
      <c r="H49" s="87">
        <f>ROUND((Source!AF25*Source!AV25+Source!AE25*Source!AV25)*(Source!FX25)/100,2)</f>
        <v>0</v>
      </c>
      <c r="I49" s="88">
        <f>T49</f>
        <v>0</v>
      </c>
      <c r="J49" s="90">
        <v>0.9</v>
      </c>
      <c r="K49" s="89">
        <f>U49</f>
        <v>0</v>
      </c>
      <c r="O49" s="22"/>
      <c r="P49" s="22"/>
      <c r="Q49" s="22"/>
      <c r="R49" s="22"/>
      <c r="S49" s="22"/>
      <c r="T49" s="22">
        <f>ROUND((ROUND(Source!AF25*Source!AV25*Source!I25,0)+ROUND(Source!AE25*Source!AV25*Source!I25,0))*(Source!FX25)/100,0)</f>
        <v>0</v>
      </c>
      <c r="U49" s="22">
        <f>Source!X25</f>
        <v>0</v>
      </c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>
        <v>1</v>
      </c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>
        <f>T49</f>
        <v>0</v>
      </c>
      <c r="DR49" s="22"/>
      <c r="DS49" s="22">
        <f>U49</f>
        <v>0</v>
      </c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>
        <f>T49</f>
        <v>0</v>
      </c>
      <c r="GZ49" s="22"/>
      <c r="HA49" s="22"/>
      <c r="HB49" s="22">
        <f>T49</f>
        <v>0</v>
      </c>
      <c r="HC49" s="22"/>
      <c r="HD49" s="22"/>
      <c r="HE49" s="22"/>
      <c r="HF49" s="22">
        <f>T49</f>
        <v>0</v>
      </c>
      <c r="HG49" s="22"/>
      <c r="HH49" s="22"/>
      <c r="HI49" s="22"/>
      <c r="HJ49" s="22"/>
      <c r="HK49" s="22"/>
      <c r="HL49" s="22">
        <f>T49</f>
        <v>0</v>
      </c>
      <c r="HM49" s="22"/>
      <c r="HN49" s="22">
        <f>T49</f>
        <v>0</v>
      </c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</row>
    <row r="50" spans="1:255" x14ac:dyDescent="0.2">
      <c r="A50" s="81"/>
      <c r="B50" s="82"/>
      <c r="C50" s="82" t="s">
        <v>308</v>
      </c>
      <c r="D50" s="83"/>
      <c r="E50" s="84">
        <v>46</v>
      </c>
      <c r="F50" s="85" t="s">
        <v>307</v>
      </c>
      <c r="G50" s="86"/>
      <c r="H50" s="87">
        <f>ROUND((Source!AF25*Source!AV25+Source!AE25*Source!AV25)*(Source!FY25)/100,2)</f>
        <v>0</v>
      </c>
      <c r="I50" s="88">
        <f>T50</f>
        <v>0</v>
      </c>
      <c r="J50" s="90">
        <v>0.46</v>
      </c>
      <c r="K50" s="89">
        <f>U50</f>
        <v>0</v>
      </c>
      <c r="O50" s="22"/>
      <c r="P50" s="22"/>
      <c r="Q50" s="22"/>
      <c r="R50" s="22"/>
      <c r="S50" s="22"/>
      <c r="T50" s="22">
        <f>ROUND((ROUND(Source!AF25*Source!AV25*Source!I25,0)+ROUND(Source!AE25*Source!AV25*Source!I25,0))*(Source!FY25)/100,0)</f>
        <v>0</v>
      </c>
      <c r="U50" s="22">
        <f>Source!Y25</f>
        <v>0</v>
      </c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>
        <v>1</v>
      </c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>
        <f>T50</f>
        <v>0</v>
      </c>
      <c r="DR50" s="22"/>
      <c r="DS50" s="22">
        <f>U50</f>
        <v>0</v>
      </c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>
        <f>T50</f>
        <v>0</v>
      </c>
      <c r="HA50" s="22"/>
      <c r="HB50" s="22">
        <f>T50</f>
        <v>0</v>
      </c>
      <c r="HC50" s="22"/>
      <c r="HD50" s="22"/>
      <c r="HE50" s="22"/>
      <c r="HF50" s="22">
        <f>T50</f>
        <v>0</v>
      </c>
      <c r="HG50" s="22"/>
      <c r="HH50" s="22"/>
      <c r="HI50" s="22"/>
      <c r="HJ50" s="22"/>
      <c r="HK50" s="22"/>
      <c r="HL50" s="22">
        <f>T50</f>
        <v>0</v>
      </c>
      <c r="HM50" s="22"/>
      <c r="HN50" s="22">
        <f>T50</f>
        <v>0</v>
      </c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</row>
    <row r="51" spans="1:255" ht="13.5" thickBot="1" x14ac:dyDescent="0.25">
      <c r="A51" s="96"/>
      <c r="B51" s="97"/>
      <c r="C51" s="97" t="s">
        <v>309</v>
      </c>
      <c r="D51" s="98" t="s">
        <v>310</v>
      </c>
      <c r="E51" s="99">
        <v>20.8</v>
      </c>
      <c r="F51" s="100"/>
      <c r="G51" s="101"/>
      <c r="H51" s="100">
        <f>ROUND(Source!AH25,2)</f>
        <v>20.8</v>
      </c>
      <c r="I51" s="102">
        <f>Source!U25</f>
        <v>1.7472000000000001</v>
      </c>
      <c r="J51" s="103"/>
      <c r="K51" s="104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</row>
    <row r="52" spans="1:255" x14ac:dyDescent="0.2">
      <c r="A52" s="95"/>
      <c r="B52" s="94"/>
      <c r="C52" s="94" t="s">
        <v>311</v>
      </c>
      <c r="D52" s="94"/>
      <c r="E52" s="94"/>
      <c r="F52" s="94"/>
      <c r="G52" s="94"/>
      <c r="H52" s="265">
        <f>R52</f>
        <v>0</v>
      </c>
      <c r="I52" s="266"/>
      <c r="J52" s="265">
        <f>S52</f>
        <v>0</v>
      </c>
      <c r="K52" s="267"/>
      <c r="O52" s="22"/>
      <c r="P52" s="22"/>
      <c r="Q52" s="22"/>
      <c r="R52" s="22">
        <f>SUM(T47:T51)</f>
        <v>0</v>
      </c>
      <c r="S52" s="22">
        <f>SUM(U47:U51)</f>
        <v>0</v>
      </c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>
        <f>R52</f>
        <v>0</v>
      </c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</row>
    <row r="53" spans="1:255" x14ac:dyDescent="0.2">
      <c r="A53" s="73"/>
      <c r="B53" s="72"/>
      <c r="C53" s="72"/>
      <c r="D53" s="72"/>
      <c r="E53" s="72"/>
      <c r="F53" s="72"/>
      <c r="G53" s="72"/>
      <c r="H53" s="268"/>
      <c r="I53" s="269"/>
      <c r="J53" s="268"/>
      <c r="K53" s="270"/>
    </row>
    <row r="54" spans="1:255" ht="45" x14ac:dyDescent="0.2">
      <c r="A54" s="108">
        <v>2</v>
      </c>
      <c r="B54" s="116" t="s">
        <v>27</v>
      </c>
      <c r="C54" s="109" t="s">
        <v>312</v>
      </c>
      <c r="D54" s="110" t="s">
        <v>29</v>
      </c>
      <c r="E54" s="111">
        <v>0.24</v>
      </c>
      <c r="F54" s="112">
        <f>Source!AK27</f>
        <v>0</v>
      </c>
      <c r="G54" s="117" t="s">
        <v>3</v>
      </c>
      <c r="H54" s="112"/>
      <c r="I54" s="113">
        <f>SUM(DQ54:DQ58)</f>
        <v>0</v>
      </c>
      <c r="J54" s="114"/>
      <c r="K54" s="115">
        <f>SUM(DS54:DS58)</f>
        <v>0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</row>
    <row r="55" spans="1:255" x14ac:dyDescent="0.2">
      <c r="A55" s="62"/>
      <c r="B55" s="63"/>
      <c r="C55" s="63" t="s">
        <v>305</v>
      </c>
      <c r="D55" s="64"/>
      <c r="E55" s="65"/>
      <c r="F55" s="66">
        <v>0</v>
      </c>
      <c r="G55" s="67" t="s">
        <v>32</v>
      </c>
      <c r="H55" s="66">
        <f>Source!AF27</f>
        <v>0</v>
      </c>
      <c r="I55" s="68">
        <f>T55</f>
        <v>0</v>
      </c>
      <c r="J55" s="69">
        <v>36.99</v>
      </c>
      <c r="K55" s="70">
        <f>U55</f>
        <v>0</v>
      </c>
      <c r="O55" s="22"/>
      <c r="P55" s="22"/>
      <c r="Q55" s="22"/>
      <c r="R55" s="22"/>
      <c r="S55" s="22"/>
      <c r="T55" s="22">
        <f>ROUND(Source!AF27*Source!AV27*Source!I27,0)</f>
        <v>0</v>
      </c>
      <c r="U55" s="22">
        <f>Source!S27</f>
        <v>0</v>
      </c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>
        <v>1</v>
      </c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>
        <f>Source!S27</f>
        <v>0</v>
      </c>
      <c r="DH55" s="22">
        <v>1</v>
      </c>
      <c r="DI55" s="22"/>
      <c r="DJ55" s="22"/>
      <c r="DK55" s="22"/>
      <c r="DL55" s="22"/>
      <c r="DM55" s="22"/>
      <c r="DN55" s="22"/>
      <c r="DO55" s="22"/>
      <c r="DP55" s="22"/>
      <c r="DQ55" s="22">
        <f>T55</f>
        <v>0</v>
      </c>
      <c r="DR55" s="22"/>
      <c r="DS55" s="22">
        <f>U55</f>
        <v>0</v>
      </c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>
        <f>T55</f>
        <v>0</v>
      </c>
      <c r="GK55" s="22">
        <f>T55</f>
        <v>0</v>
      </c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>
        <f>T55</f>
        <v>0</v>
      </c>
      <c r="HC55" s="22"/>
      <c r="HD55" s="22"/>
      <c r="HE55" s="22"/>
      <c r="HF55" s="22">
        <f>T55</f>
        <v>0</v>
      </c>
      <c r="HG55" s="22"/>
      <c r="HH55" s="22"/>
      <c r="HI55" s="22"/>
      <c r="HJ55" s="22"/>
      <c r="HK55" s="22"/>
      <c r="HL55" s="22">
        <f>T55</f>
        <v>0</v>
      </c>
      <c r="HM55" s="22"/>
      <c r="HN55" s="22">
        <f>T55</f>
        <v>0</v>
      </c>
      <c r="HO55" s="22"/>
      <c r="HP55" s="22"/>
      <c r="HQ55" s="22"/>
      <c r="HR55" s="22"/>
      <c r="HS55" s="22"/>
      <c r="HT55" s="22"/>
      <c r="HU55" s="22"/>
      <c r="HV55" s="22"/>
      <c r="HW55" s="22"/>
      <c r="HX55" s="22">
        <f>T55</f>
        <v>0</v>
      </c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</row>
    <row r="56" spans="1:255" x14ac:dyDescent="0.2">
      <c r="A56" s="81"/>
      <c r="B56" s="82"/>
      <c r="C56" s="82" t="s">
        <v>306</v>
      </c>
      <c r="D56" s="83"/>
      <c r="E56" s="84">
        <v>94</v>
      </c>
      <c r="F56" s="85" t="s">
        <v>307</v>
      </c>
      <c r="G56" s="86"/>
      <c r="H56" s="87">
        <f>ROUND((Source!AF27*Source!AV27+Source!AE27*Source!AV27)*(Source!FX27)/100,2)</f>
        <v>0</v>
      </c>
      <c r="I56" s="88">
        <f>T56</f>
        <v>0</v>
      </c>
      <c r="J56" s="90">
        <v>0.94</v>
      </c>
      <c r="K56" s="89">
        <f>U56</f>
        <v>0</v>
      </c>
      <c r="O56" s="22"/>
      <c r="P56" s="22"/>
      <c r="Q56" s="22"/>
      <c r="R56" s="22"/>
      <c r="S56" s="22"/>
      <c r="T56" s="22">
        <f>ROUND((ROUND(Source!AF27*Source!AV27*Source!I27,0)+ROUND(Source!AE27*Source!AV27*Source!I27,0))*(Source!FX27)/100,0)</f>
        <v>0</v>
      </c>
      <c r="U56" s="22">
        <f>Source!X27</f>
        <v>0</v>
      </c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>
        <v>1</v>
      </c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>
        <f>T56</f>
        <v>0</v>
      </c>
      <c r="DR56" s="22"/>
      <c r="DS56" s="22">
        <f>U56</f>
        <v>0</v>
      </c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>
        <f>T56</f>
        <v>0</v>
      </c>
      <c r="GZ56" s="22"/>
      <c r="HA56" s="22"/>
      <c r="HB56" s="22">
        <f>T56</f>
        <v>0</v>
      </c>
      <c r="HC56" s="22"/>
      <c r="HD56" s="22"/>
      <c r="HE56" s="22"/>
      <c r="HF56" s="22">
        <f>T56</f>
        <v>0</v>
      </c>
      <c r="HG56" s="22"/>
      <c r="HH56" s="22"/>
      <c r="HI56" s="22"/>
      <c r="HJ56" s="22"/>
      <c r="HK56" s="22"/>
      <c r="HL56" s="22">
        <f>T56</f>
        <v>0</v>
      </c>
      <c r="HM56" s="22"/>
      <c r="HN56" s="22">
        <f>T56</f>
        <v>0</v>
      </c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</row>
    <row r="57" spans="1:255" x14ac:dyDescent="0.2">
      <c r="A57" s="81"/>
      <c r="B57" s="82"/>
      <c r="C57" s="82" t="s">
        <v>308</v>
      </c>
      <c r="D57" s="83"/>
      <c r="E57" s="84">
        <v>51</v>
      </c>
      <c r="F57" s="85" t="s">
        <v>307</v>
      </c>
      <c r="G57" s="86"/>
      <c r="H57" s="87">
        <f>ROUND((Source!AF27*Source!AV27+Source!AE27*Source!AV27)*(Source!FY27)/100,2)</f>
        <v>0</v>
      </c>
      <c r="I57" s="88">
        <f>T57</f>
        <v>0</v>
      </c>
      <c r="J57" s="90">
        <v>0.51</v>
      </c>
      <c r="K57" s="89">
        <f>U57</f>
        <v>0</v>
      </c>
      <c r="O57" s="22"/>
      <c r="P57" s="22"/>
      <c r="Q57" s="22"/>
      <c r="R57" s="22"/>
      <c r="S57" s="22"/>
      <c r="T57" s="22">
        <f>ROUND((ROUND(Source!AF27*Source!AV27*Source!I27,0)+ROUND(Source!AE27*Source!AV27*Source!I27,0))*(Source!FY27)/100,0)</f>
        <v>0</v>
      </c>
      <c r="U57" s="22">
        <f>Source!Y27</f>
        <v>0</v>
      </c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>
        <v>1</v>
      </c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>
        <f>T57</f>
        <v>0</v>
      </c>
      <c r="DR57" s="22"/>
      <c r="DS57" s="22">
        <f>U57</f>
        <v>0</v>
      </c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>
        <f>T57</f>
        <v>0</v>
      </c>
      <c r="HA57" s="22"/>
      <c r="HB57" s="22">
        <f>T57</f>
        <v>0</v>
      </c>
      <c r="HC57" s="22"/>
      <c r="HD57" s="22"/>
      <c r="HE57" s="22"/>
      <c r="HF57" s="22">
        <f>T57</f>
        <v>0</v>
      </c>
      <c r="HG57" s="22"/>
      <c r="HH57" s="22"/>
      <c r="HI57" s="22"/>
      <c r="HJ57" s="22"/>
      <c r="HK57" s="22"/>
      <c r="HL57" s="22">
        <f>T57</f>
        <v>0</v>
      </c>
      <c r="HM57" s="22"/>
      <c r="HN57" s="22">
        <f>T57</f>
        <v>0</v>
      </c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</row>
    <row r="58" spans="1:255" ht="13.5" thickBot="1" x14ac:dyDescent="0.25">
      <c r="A58" s="96"/>
      <c r="B58" s="97"/>
      <c r="C58" s="97" t="s">
        <v>309</v>
      </c>
      <c r="D58" s="98" t="s">
        <v>310</v>
      </c>
      <c r="E58" s="99">
        <v>0.9</v>
      </c>
      <c r="F58" s="100"/>
      <c r="G58" s="101" t="s">
        <v>32</v>
      </c>
      <c r="H58" s="100">
        <f>ROUND(Source!AH27,2)</f>
        <v>1.04</v>
      </c>
      <c r="I58" s="102">
        <f>Source!U27</f>
        <v>0.24839999999999998</v>
      </c>
      <c r="J58" s="103"/>
      <c r="K58" s="10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</row>
    <row r="59" spans="1:255" x14ac:dyDescent="0.2">
      <c r="A59" s="95"/>
      <c r="B59" s="94"/>
      <c r="C59" s="94" t="s">
        <v>311</v>
      </c>
      <c r="D59" s="94"/>
      <c r="E59" s="94"/>
      <c r="F59" s="94"/>
      <c r="G59" s="94"/>
      <c r="H59" s="265">
        <f>R59</f>
        <v>0</v>
      </c>
      <c r="I59" s="266"/>
      <c r="J59" s="265">
        <f>S59</f>
        <v>0</v>
      </c>
      <c r="K59" s="267"/>
      <c r="O59" s="22"/>
      <c r="P59" s="22"/>
      <c r="Q59" s="22"/>
      <c r="R59" s="22">
        <f>SUM(T54:T58)</f>
        <v>0</v>
      </c>
      <c r="S59" s="22">
        <f>SUM(U54:U58)</f>
        <v>0</v>
      </c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>
        <f>R59</f>
        <v>0</v>
      </c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</row>
    <row r="60" spans="1:255" x14ac:dyDescent="0.2">
      <c r="A60" s="73"/>
      <c r="B60" s="72"/>
      <c r="C60" s="72"/>
      <c r="D60" s="72"/>
      <c r="E60" s="72"/>
      <c r="F60" s="72"/>
      <c r="G60" s="72"/>
      <c r="H60" s="268"/>
      <c r="I60" s="269"/>
      <c r="J60" s="268"/>
      <c r="K60" s="270"/>
    </row>
    <row r="61" spans="1:255" ht="48" x14ac:dyDescent="0.2">
      <c r="A61" s="108">
        <v>3</v>
      </c>
      <c r="B61" s="116" t="s">
        <v>41</v>
      </c>
      <c r="C61" s="109" t="s">
        <v>42</v>
      </c>
      <c r="D61" s="110" t="s">
        <v>43</v>
      </c>
      <c r="E61" s="111">
        <v>1.6799999999999999E-2</v>
      </c>
      <c r="F61" s="112">
        <f>Source!AK29</f>
        <v>0</v>
      </c>
      <c r="G61" s="117" t="s">
        <v>3</v>
      </c>
      <c r="H61" s="112"/>
      <c r="I61" s="113">
        <f>SUM(DQ61:DQ67)</f>
        <v>0</v>
      </c>
      <c r="J61" s="114"/>
      <c r="K61" s="115">
        <f>SUM(DS61:DS67)</f>
        <v>0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</row>
    <row r="62" spans="1:255" x14ac:dyDescent="0.2">
      <c r="A62" s="62"/>
      <c r="B62" s="63"/>
      <c r="C62" s="63" t="s">
        <v>305</v>
      </c>
      <c r="D62" s="64"/>
      <c r="E62" s="65"/>
      <c r="F62" s="66">
        <v>0</v>
      </c>
      <c r="G62" s="67"/>
      <c r="H62" s="66">
        <f>Source!AF29</f>
        <v>0</v>
      </c>
      <c r="I62" s="68">
        <f>T62</f>
        <v>0</v>
      </c>
      <c r="J62" s="69">
        <v>36.99</v>
      </c>
      <c r="K62" s="70">
        <f>U62</f>
        <v>0</v>
      </c>
      <c r="O62" s="22"/>
      <c r="P62" s="22"/>
      <c r="Q62" s="22"/>
      <c r="R62" s="22"/>
      <c r="S62" s="22"/>
      <c r="T62" s="22">
        <f>ROUND(Source!AF29*Source!AV29*Source!I29,0)</f>
        <v>0</v>
      </c>
      <c r="U62" s="22">
        <f>Source!S29</f>
        <v>0</v>
      </c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>
        <v>1</v>
      </c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>
        <f>Source!S29</f>
        <v>0</v>
      </c>
      <c r="DH62" s="22">
        <v>1</v>
      </c>
      <c r="DI62" s="22"/>
      <c r="DJ62" s="22"/>
      <c r="DK62" s="22"/>
      <c r="DL62" s="22"/>
      <c r="DM62" s="22"/>
      <c r="DN62" s="22"/>
      <c r="DO62" s="22"/>
      <c r="DP62" s="22"/>
      <c r="DQ62" s="22">
        <f>T62</f>
        <v>0</v>
      </c>
      <c r="DR62" s="22"/>
      <c r="DS62" s="22">
        <f>U62</f>
        <v>0</v>
      </c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>
        <f>T62</f>
        <v>0</v>
      </c>
      <c r="GK62" s="22">
        <f>T62</f>
        <v>0</v>
      </c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>
        <f>T62</f>
        <v>0</v>
      </c>
      <c r="HC62" s="22"/>
      <c r="HD62" s="22"/>
      <c r="HE62" s="22"/>
      <c r="HF62" s="22">
        <f>T62</f>
        <v>0</v>
      </c>
      <c r="HG62" s="22"/>
      <c r="HH62" s="22"/>
      <c r="HI62" s="22"/>
      <c r="HJ62" s="22"/>
      <c r="HK62" s="22"/>
      <c r="HL62" s="22">
        <f>T62</f>
        <v>0</v>
      </c>
      <c r="HM62" s="22"/>
      <c r="HN62" s="22">
        <f>T62</f>
        <v>0</v>
      </c>
      <c r="HO62" s="22"/>
      <c r="HP62" s="22"/>
      <c r="HQ62" s="22"/>
      <c r="HR62" s="22"/>
      <c r="HS62" s="22"/>
      <c r="HT62" s="22"/>
      <c r="HU62" s="22"/>
      <c r="HV62" s="22"/>
      <c r="HW62" s="22"/>
      <c r="HX62" s="22">
        <f>T62</f>
        <v>0</v>
      </c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</row>
    <row r="63" spans="1:255" x14ac:dyDescent="0.2">
      <c r="A63" s="74"/>
      <c r="B63" s="75"/>
      <c r="C63" s="75" t="s">
        <v>313</v>
      </c>
      <c r="D63" s="76"/>
      <c r="E63" s="77"/>
      <c r="F63" s="79">
        <v>0</v>
      </c>
      <c r="G63" s="78"/>
      <c r="H63" s="79">
        <f>Source!AD29</f>
        <v>0</v>
      </c>
      <c r="I63" s="80">
        <f>T63</f>
        <v>0</v>
      </c>
      <c r="J63" s="91">
        <v>13.51</v>
      </c>
      <c r="K63" s="92">
        <f>U63</f>
        <v>0</v>
      </c>
      <c r="O63" s="22"/>
      <c r="P63" s="22"/>
      <c r="Q63" s="22"/>
      <c r="R63" s="22"/>
      <c r="S63" s="22"/>
      <c r="T63" s="22">
        <f>ROUND(Source!AD29*Source!AV29*Source!I29,0)</f>
        <v>0</v>
      </c>
      <c r="U63" s="22">
        <f>Source!Q29</f>
        <v>0</v>
      </c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>
        <v>1</v>
      </c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>
        <f>T63</f>
        <v>0</v>
      </c>
      <c r="DR63" s="22"/>
      <c r="DS63" s="22">
        <f>U63</f>
        <v>0</v>
      </c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>
        <f>T63</f>
        <v>0</v>
      </c>
      <c r="GK63" s="22"/>
      <c r="GL63" s="22">
        <f>T63</f>
        <v>0</v>
      </c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>
        <f>T63</f>
        <v>0</v>
      </c>
      <c r="HC63" s="22"/>
      <c r="HD63" s="22"/>
      <c r="HE63" s="22"/>
      <c r="HF63" s="22">
        <f>T63</f>
        <v>0</v>
      </c>
      <c r="HG63" s="22"/>
      <c r="HH63" s="22"/>
      <c r="HI63" s="22"/>
      <c r="HJ63" s="22"/>
      <c r="HK63" s="22"/>
      <c r="HL63" s="22">
        <f>T63</f>
        <v>0</v>
      </c>
      <c r="HM63" s="22"/>
      <c r="HN63" s="22">
        <f>T63</f>
        <v>0</v>
      </c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</row>
    <row r="64" spans="1:255" x14ac:dyDescent="0.2">
      <c r="A64" s="74"/>
      <c r="B64" s="75"/>
      <c r="C64" s="75" t="s">
        <v>314</v>
      </c>
      <c r="D64" s="76"/>
      <c r="E64" s="77"/>
      <c r="F64" s="79">
        <v>0</v>
      </c>
      <c r="G64" s="78"/>
      <c r="H64" s="79">
        <f>Source!AE29</f>
        <v>0</v>
      </c>
      <c r="I64" s="80">
        <f>GM64</f>
        <v>0</v>
      </c>
      <c r="J64" s="91">
        <v>36.99</v>
      </c>
      <c r="K64" s="92">
        <f>Source!R29</f>
        <v>0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>
        <f>ROUND(Source!AE29*Source!AV29*Source!I29,0)</f>
        <v>0</v>
      </c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>
        <f>GM64</f>
        <v>0</v>
      </c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</row>
    <row r="65" spans="1:255" x14ac:dyDescent="0.2">
      <c r="A65" s="81"/>
      <c r="B65" s="82"/>
      <c r="C65" s="82" t="s">
        <v>306</v>
      </c>
      <c r="D65" s="83"/>
      <c r="E65" s="84">
        <v>73</v>
      </c>
      <c r="F65" s="85" t="s">
        <v>307</v>
      </c>
      <c r="G65" s="86"/>
      <c r="H65" s="87">
        <f>ROUND((Source!AF29*Source!AV29+Source!AE29*Source!AV29)*(Source!FX29)/100,2)</f>
        <v>0</v>
      </c>
      <c r="I65" s="88">
        <f>T65</f>
        <v>0</v>
      </c>
      <c r="J65" s="90">
        <v>0.73</v>
      </c>
      <c r="K65" s="89">
        <f>U65</f>
        <v>0</v>
      </c>
      <c r="O65" s="22"/>
      <c r="P65" s="22"/>
      <c r="Q65" s="22"/>
      <c r="R65" s="22"/>
      <c r="S65" s="22"/>
      <c r="T65" s="22">
        <f>ROUND((ROUND(Source!AF29*Source!AV29*Source!I29,0)+ROUND(Source!AE29*Source!AV29*Source!I29,0))*(Source!FX29)/100,0)</f>
        <v>0</v>
      </c>
      <c r="U65" s="22">
        <f>Source!X29</f>
        <v>0</v>
      </c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>
        <v>1</v>
      </c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>
        <f>T65</f>
        <v>0</v>
      </c>
      <c r="DR65" s="22"/>
      <c r="DS65" s="22">
        <f>U65</f>
        <v>0</v>
      </c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>
        <f>T65</f>
        <v>0</v>
      </c>
      <c r="GZ65" s="22"/>
      <c r="HA65" s="22"/>
      <c r="HB65" s="22">
        <f>T65</f>
        <v>0</v>
      </c>
      <c r="HC65" s="22"/>
      <c r="HD65" s="22"/>
      <c r="HE65" s="22"/>
      <c r="HF65" s="22">
        <f>T65</f>
        <v>0</v>
      </c>
      <c r="HG65" s="22"/>
      <c r="HH65" s="22"/>
      <c r="HI65" s="22"/>
      <c r="HJ65" s="22"/>
      <c r="HK65" s="22"/>
      <c r="HL65" s="22">
        <f>T65</f>
        <v>0</v>
      </c>
      <c r="HM65" s="22"/>
      <c r="HN65" s="22">
        <f>T65</f>
        <v>0</v>
      </c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</row>
    <row r="66" spans="1:255" x14ac:dyDescent="0.2">
      <c r="A66" s="81"/>
      <c r="B66" s="82"/>
      <c r="C66" s="82" t="s">
        <v>308</v>
      </c>
      <c r="D66" s="83"/>
      <c r="E66" s="84">
        <v>34</v>
      </c>
      <c r="F66" s="85" t="s">
        <v>307</v>
      </c>
      <c r="G66" s="86"/>
      <c r="H66" s="87">
        <f>ROUND((Source!AF29*Source!AV29+Source!AE29*Source!AV29)*(Source!FY29)/100,2)</f>
        <v>0</v>
      </c>
      <c r="I66" s="88">
        <f>T66</f>
        <v>0</v>
      </c>
      <c r="J66" s="90">
        <v>0.34</v>
      </c>
      <c r="K66" s="89">
        <f>U66</f>
        <v>0</v>
      </c>
      <c r="O66" s="22"/>
      <c r="P66" s="22"/>
      <c r="Q66" s="22"/>
      <c r="R66" s="22"/>
      <c r="S66" s="22"/>
      <c r="T66" s="22">
        <f>ROUND((ROUND(Source!AF29*Source!AV29*Source!I29,0)+ROUND(Source!AE29*Source!AV29*Source!I29,0))*(Source!FY29)/100,0)</f>
        <v>0</v>
      </c>
      <c r="U66" s="22">
        <f>Source!Y29</f>
        <v>0</v>
      </c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>
        <v>1</v>
      </c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>
        <f>T66</f>
        <v>0</v>
      </c>
      <c r="DR66" s="22"/>
      <c r="DS66" s="22">
        <f>U66</f>
        <v>0</v>
      </c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>
        <f>T66</f>
        <v>0</v>
      </c>
      <c r="HA66" s="22"/>
      <c r="HB66" s="22">
        <f>T66</f>
        <v>0</v>
      </c>
      <c r="HC66" s="22"/>
      <c r="HD66" s="22"/>
      <c r="HE66" s="22"/>
      <c r="HF66" s="22">
        <f>T66</f>
        <v>0</v>
      </c>
      <c r="HG66" s="22"/>
      <c r="HH66" s="22"/>
      <c r="HI66" s="22"/>
      <c r="HJ66" s="22"/>
      <c r="HK66" s="22"/>
      <c r="HL66" s="22">
        <f>T66</f>
        <v>0</v>
      </c>
      <c r="HM66" s="22"/>
      <c r="HN66" s="22">
        <f>T66</f>
        <v>0</v>
      </c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</row>
    <row r="67" spans="1:255" ht="13.5" thickBot="1" x14ac:dyDescent="0.25">
      <c r="A67" s="96"/>
      <c r="B67" s="97"/>
      <c r="C67" s="97" t="s">
        <v>309</v>
      </c>
      <c r="D67" s="98" t="s">
        <v>310</v>
      </c>
      <c r="E67" s="99">
        <v>5.33</v>
      </c>
      <c r="F67" s="100"/>
      <c r="G67" s="101"/>
      <c r="H67" s="100">
        <f>ROUND(Source!AH29,2)</f>
        <v>5.33</v>
      </c>
      <c r="I67" s="102">
        <f>Source!U29</f>
        <v>8.9543999999999999E-2</v>
      </c>
      <c r="J67" s="103"/>
      <c r="K67" s="104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</row>
    <row r="68" spans="1:255" x14ac:dyDescent="0.2">
      <c r="A68" s="95"/>
      <c r="B68" s="94"/>
      <c r="C68" s="94" t="s">
        <v>311</v>
      </c>
      <c r="D68" s="94"/>
      <c r="E68" s="94"/>
      <c r="F68" s="94"/>
      <c r="G68" s="94"/>
      <c r="H68" s="265">
        <f>R68</f>
        <v>0</v>
      </c>
      <c r="I68" s="266"/>
      <c r="J68" s="265">
        <f>S68</f>
        <v>0</v>
      </c>
      <c r="K68" s="267"/>
      <c r="O68" s="22"/>
      <c r="P68" s="22"/>
      <c r="Q68" s="22"/>
      <c r="R68" s="22">
        <f>SUM(T61:T67)</f>
        <v>0</v>
      </c>
      <c r="S68" s="22">
        <f>SUM(U61:U67)</f>
        <v>0</v>
      </c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>
        <f>R68</f>
        <v>0</v>
      </c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</row>
    <row r="69" spans="1:255" x14ac:dyDescent="0.2">
      <c r="A69" s="73"/>
      <c r="B69" s="72"/>
      <c r="C69" s="72"/>
      <c r="D69" s="72"/>
      <c r="E69" s="72"/>
      <c r="F69" s="72"/>
      <c r="G69" s="72"/>
      <c r="H69" s="268"/>
      <c r="I69" s="269"/>
      <c r="J69" s="268"/>
      <c r="K69" s="270"/>
    </row>
    <row r="70" spans="1:255" ht="60" x14ac:dyDescent="0.2">
      <c r="A70" s="108">
        <v>4</v>
      </c>
      <c r="B70" s="116" t="s">
        <v>51</v>
      </c>
      <c r="C70" s="109" t="s">
        <v>52</v>
      </c>
      <c r="D70" s="110" t="s">
        <v>53</v>
      </c>
      <c r="E70" s="111">
        <v>8.4000000000000005E-2</v>
      </c>
      <c r="F70" s="112">
        <f>Source!AK31</f>
        <v>0</v>
      </c>
      <c r="G70" s="117" t="s">
        <v>3</v>
      </c>
      <c r="H70" s="112"/>
      <c r="I70" s="113">
        <f>SUM(DQ70:DQ82)</f>
        <v>0</v>
      </c>
      <c r="J70" s="114"/>
      <c r="K70" s="115">
        <f>SUM(DS70:DS82)</f>
        <v>0</v>
      </c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</row>
    <row r="71" spans="1:255" x14ac:dyDescent="0.2">
      <c r="A71" s="62"/>
      <c r="B71" s="63"/>
      <c r="C71" s="63" t="s">
        <v>305</v>
      </c>
      <c r="D71" s="64"/>
      <c r="E71" s="65"/>
      <c r="F71" s="66">
        <v>0</v>
      </c>
      <c r="G71" s="67"/>
      <c r="H71" s="66">
        <f>Source!AF31</f>
        <v>0</v>
      </c>
      <c r="I71" s="68">
        <f>T71</f>
        <v>0</v>
      </c>
      <c r="J71" s="69">
        <v>36.99</v>
      </c>
      <c r="K71" s="70">
        <f>U71</f>
        <v>0</v>
      </c>
      <c r="O71" s="22"/>
      <c r="P71" s="22"/>
      <c r="Q71" s="22"/>
      <c r="R71" s="22"/>
      <c r="S71" s="22"/>
      <c r="T71" s="22">
        <f>ROUND(Source!AF31*Source!AV31*Source!I31,0)</f>
        <v>0</v>
      </c>
      <c r="U71" s="22">
        <f>Source!S31</f>
        <v>0</v>
      </c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>
        <v>1</v>
      </c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>
        <f>Source!S31</f>
        <v>0</v>
      </c>
      <c r="DH71" s="22">
        <v>1</v>
      </c>
      <c r="DI71" s="22"/>
      <c r="DJ71" s="22"/>
      <c r="DK71" s="22"/>
      <c r="DL71" s="22"/>
      <c r="DM71" s="22"/>
      <c r="DN71" s="22"/>
      <c r="DO71" s="22"/>
      <c r="DP71" s="22"/>
      <c r="DQ71" s="22">
        <f>T71</f>
        <v>0</v>
      </c>
      <c r="DR71" s="22"/>
      <c r="DS71" s="22">
        <f>U71</f>
        <v>0</v>
      </c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>
        <f>T71</f>
        <v>0</v>
      </c>
      <c r="GK71" s="22">
        <f>T71</f>
        <v>0</v>
      </c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>
        <f>T71</f>
        <v>0</v>
      </c>
      <c r="HC71" s="22"/>
      <c r="HD71" s="22"/>
      <c r="HE71" s="22"/>
      <c r="HF71" s="22">
        <f>T71</f>
        <v>0</v>
      </c>
      <c r="HG71" s="22"/>
      <c r="HH71" s="22"/>
      <c r="HI71" s="22"/>
      <c r="HJ71" s="22"/>
      <c r="HK71" s="22"/>
      <c r="HL71" s="22">
        <f>T71</f>
        <v>0</v>
      </c>
      <c r="HM71" s="22"/>
      <c r="HN71" s="22">
        <f>T71</f>
        <v>0</v>
      </c>
      <c r="HO71" s="22"/>
      <c r="HP71" s="22"/>
      <c r="HQ71" s="22"/>
      <c r="HR71" s="22"/>
      <c r="HS71" s="22"/>
      <c r="HT71" s="22"/>
      <c r="HU71" s="22"/>
      <c r="HV71" s="22"/>
      <c r="HW71" s="22"/>
      <c r="HX71" s="22">
        <f>T71</f>
        <v>0</v>
      </c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</row>
    <row r="72" spans="1:255" x14ac:dyDescent="0.2">
      <c r="A72" s="74"/>
      <c r="B72" s="75"/>
      <c r="C72" s="75" t="s">
        <v>313</v>
      </c>
      <c r="D72" s="76"/>
      <c r="E72" s="77"/>
      <c r="F72" s="79">
        <v>0</v>
      </c>
      <c r="G72" s="78"/>
      <c r="H72" s="79">
        <f>Source!AD31</f>
        <v>0</v>
      </c>
      <c r="I72" s="80">
        <f>T72</f>
        <v>0</v>
      </c>
      <c r="J72" s="91">
        <v>13.51</v>
      </c>
      <c r="K72" s="92">
        <f>U72</f>
        <v>0</v>
      </c>
      <c r="O72" s="22"/>
      <c r="P72" s="22"/>
      <c r="Q72" s="22"/>
      <c r="R72" s="22"/>
      <c r="S72" s="22"/>
      <c r="T72" s="22">
        <f>ROUND(Source!AD31*Source!AV31*Source!I31,0)</f>
        <v>0</v>
      </c>
      <c r="U72" s="22">
        <f>Source!Q31</f>
        <v>0</v>
      </c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>
        <v>1</v>
      </c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>
        <f>T72</f>
        <v>0</v>
      </c>
      <c r="DR72" s="22"/>
      <c r="DS72" s="22">
        <f>U72</f>
        <v>0</v>
      </c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>
        <f>T72</f>
        <v>0</v>
      </c>
      <c r="GK72" s="22"/>
      <c r="GL72" s="22">
        <f>T72</f>
        <v>0</v>
      </c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>
        <f>T72</f>
        <v>0</v>
      </c>
      <c r="HC72" s="22"/>
      <c r="HD72" s="22"/>
      <c r="HE72" s="22"/>
      <c r="HF72" s="22">
        <f>T72</f>
        <v>0</v>
      </c>
      <c r="HG72" s="22"/>
      <c r="HH72" s="22"/>
      <c r="HI72" s="22"/>
      <c r="HJ72" s="22"/>
      <c r="HK72" s="22"/>
      <c r="HL72" s="22">
        <f>T72</f>
        <v>0</v>
      </c>
      <c r="HM72" s="22"/>
      <c r="HN72" s="22">
        <f>T72</f>
        <v>0</v>
      </c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</row>
    <row r="73" spans="1:255" x14ac:dyDescent="0.2">
      <c r="A73" s="81"/>
      <c r="B73" s="82"/>
      <c r="C73" s="82" t="s">
        <v>306</v>
      </c>
      <c r="D73" s="83"/>
      <c r="E73" s="84">
        <v>103</v>
      </c>
      <c r="F73" s="85" t="s">
        <v>307</v>
      </c>
      <c r="G73" s="86"/>
      <c r="H73" s="87">
        <f>ROUND((Source!AF31*Source!AV31+Source!AE31*Source!AV31)*(Source!FX31)/100,2)</f>
        <v>0</v>
      </c>
      <c r="I73" s="88">
        <f>T73</f>
        <v>0</v>
      </c>
      <c r="J73" s="90">
        <v>1.03</v>
      </c>
      <c r="K73" s="89">
        <f>U73</f>
        <v>0</v>
      </c>
      <c r="O73" s="22"/>
      <c r="P73" s="22"/>
      <c r="Q73" s="22"/>
      <c r="R73" s="22"/>
      <c r="S73" s="22"/>
      <c r="T73" s="22">
        <f>ROUND((ROUND(Source!AF31*Source!AV31*Source!I31,0)+ROUND(Source!AE31*Source!AV31*Source!I31,0))*(Source!FX31)/100,0)</f>
        <v>0</v>
      </c>
      <c r="U73" s="22">
        <f>Source!X31</f>
        <v>0</v>
      </c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>
        <v>1</v>
      </c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>
        <f>T73</f>
        <v>0</v>
      </c>
      <c r="DR73" s="22"/>
      <c r="DS73" s="22">
        <f>U73</f>
        <v>0</v>
      </c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>
        <f>T73</f>
        <v>0</v>
      </c>
      <c r="GZ73" s="22"/>
      <c r="HA73" s="22"/>
      <c r="HB73" s="22">
        <f>T73</f>
        <v>0</v>
      </c>
      <c r="HC73" s="22"/>
      <c r="HD73" s="22"/>
      <c r="HE73" s="22"/>
      <c r="HF73" s="22">
        <f>T73</f>
        <v>0</v>
      </c>
      <c r="HG73" s="22"/>
      <c r="HH73" s="22"/>
      <c r="HI73" s="22"/>
      <c r="HJ73" s="22"/>
      <c r="HK73" s="22"/>
      <c r="HL73" s="22">
        <f>T73</f>
        <v>0</v>
      </c>
      <c r="HM73" s="22"/>
      <c r="HN73" s="22">
        <f>T73</f>
        <v>0</v>
      </c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</row>
    <row r="74" spans="1:255" x14ac:dyDescent="0.2">
      <c r="A74" s="81"/>
      <c r="B74" s="82"/>
      <c r="C74" s="82" t="s">
        <v>308</v>
      </c>
      <c r="D74" s="83"/>
      <c r="E74" s="84">
        <v>59</v>
      </c>
      <c r="F74" s="85" t="s">
        <v>307</v>
      </c>
      <c r="G74" s="86"/>
      <c r="H74" s="87">
        <f>ROUND((Source!AF31*Source!AV31+Source!AE31*Source!AV31)*(Source!FY31)/100,2)</f>
        <v>0</v>
      </c>
      <c r="I74" s="88">
        <f>T74</f>
        <v>0</v>
      </c>
      <c r="J74" s="90">
        <v>0.59</v>
      </c>
      <c r="K74" s="89">
        <f>U74</f>
        <v>0</v>
      </c>
      <c r="O74" s="22"/>
      <c r="P74" s="22"/>
      <c r="Q74" s="22"/>
      <c r="R74" s="22"/>
      <c r="S74" s="22"/>
      <c r="T74" s="22">
        <f>ROUND((ROUND(Source!AF31*Source!AV31*Source!I31,0)+ROUND(Source!AE31*Source!AV31*Source!I31,0))*(Source!FY31)/100,0)</f>
        <v>0</v>
      </c>
      <c r="U74" s="22">
        <f>Source!Y31</f>
        <v>0</v>
      </c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>
        <v>1</v>
      </c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>
        <f>T74</f>
        <v>0</v>
      </c>
      <c r="DR74" s="22"/>
      <c r="DS74" s="22">
        <f>U74</f>
        <v>0</v>
      </c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>
        <f>T74</f>
        <v>0</v>
      </c>
      <c r="HA74" s="22"/>
      <c r="HB74" s="22">
        <f>T74</f>
        <v>0</v>
      </c>
      <c r="HC74" s="22"/>
      <c r="HD74" s="22"/>
      <c r="HE74" s="22"/>
      <c r="HF74" s="22">
        <f>T74</f>
        <v>0</v>
      </c>
      <c r="HG74" s="22"/>
      <c r="HH74" s="22"/>
      <c r="HI74" s="22"/>
      <c r="HJ74" s="22"/>
      <c r="HK74" s="22"/>
      <c r="HL74" s="22">
        <f>T74</f>
        <v>0</v>
      </c>
      <c r="HM74" s="22"/>
      <c r="HN74" s="22">
        <f>T74</f>
        <v>0</v>
      </c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</row>
    <row r="75" spans="1:255" x14ac:dyDescent="0.2">
      <c r="A75" s="74"/>
      <c r="B75" s="75"/>
      <c r="C75" s="75" t="s">
        <v>309</v>
      </c>
      <c r="D75" s="76" t="s">
        <v>310</v>
      </c>
      <c r="E75" s="77">
        <v>47.87</v>
      </c>
      <c r="F75" s="79"/>
      <c r="G75" s="78"/>
      <c r="H75" s="79">
        <f>ROUND(Source!AH31,2)</f>
        <v>47.87</v>
      </c>
      <c r="I75" s="93">
        <f>Source!U31</f>
        <v>4.0210800000000004</v>
      </c>
      <c r="J75" s="91"/>
      <c r="K75" s="9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</row>
    <row r="76" spans="1:255" x14ac:dyDescent="0.2">
      <c r="A76" s="118" t="s">
        <v>60</v>
      </c>
      <c r="B76" s="126" t="s">
        <v>61</v>
      </c>
      <c r="C76" s="119" t="s">
        <v>62</v>
      </c>
      <c r="D76" s="120" t="s">
        <v>63</v>
      </c>
      <c r="E76" s="121">
        <f>Source!I33</f>
        <v>10</v>
      </c>
      <c r="F76" s="122">
        <v>46.86</v>
      </c>
      <c r="G76" s="123"/>
      <c r="H76" s="122">
        <f>Source!AC32</f>
        <v>46.86</v>
      </c>
      <c r="I76" s="124">
        <f>T76</f>
        <v>469</v>
      </c>
      <c r="J76" s="114" t="s">
        <v>315</v>
      </c>
      <c r="K76" s="125">
        <f>U76</f>
        <v>1706</v>
      </c>
      <c r="L76" s="22"/>
      <c r="M76" s="22"/>
      <c r="N76" s="22"/>
      <c r="O76" s="22"/>
      <c r="P76" s="22"/>
      <c r="Q76" s="22"/>
      <c r="R76" s="22"/>
      <c r="S76" s="22"/>
      <c r="T76" s="22">
        <f>ROUND(Source!AC32*Source!AW32*Source!I32,0)</f>
        <v>469</v>
      </c>
      <c r="U76" s="22">
        <f>Source!P33</f>
        <v>1706</v>
      </c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>
        <v>1</v>
      </c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>
        <f>T76</f>
        <v>469</v>
      </c>
      <c r="DL76" s="22"/>
      <c r="DM76" s="22">
        <f>Source!P33</f>
        <v>1706</v>
      </c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>
        <f>T76</f>
        <v>469</v>
      </c>
      <c r="GK76" s="22"/>
      <c r="GL76" s="22"/>
      <c r="GM76" s="22"/>
      <c r="GN76" s="22">
        <f>T76</f>
        <v>469</v>
      </c>
      <c r="GO76" s="22"/>
      <c r="GP76" s="22">
        <f>T76</f>
        <v>469</v>
      </c>
      <c r="GQ76" s="22">
        <f>T76</f>
        <v>469</v>
      </c>
      <c r="GR76" s="22"/>
      <c r="GS76" s="22">
        <f>T76</f>
        <v>469</v>
      </c>
      <c r="GT76" s="22"/>
      <c r="GU76" s="22"/>
      <c r="GV76" s="22"/>
      <c r="GW76" s="22"/>
      <c r="GX76" s="22"/>
      <c r="GY76" s="22"/>
      <c r="GZ76" s="22"/>
      <c r="HA76" s="22"/>
      <c r="HB76" s="22">
        <f>T76</f>
        <v>469</v>
      </c>
      <c r="HC76" s="22"/>
      <c r="HD76" s="22"/>
      <c r="HE76" s="22"/>
      <c r="HF76" s="22">
        <f>T76</f>
        <v>469</v>
      </c>
      <c r="HG76" s="22"/>
      <c r="HH76" s="22"/>
      <c r="HI76" s="22"/>
      <c r="HJ76" s="22"/>
      <c r="HK76" s="22"/>
      <c r="HL76" s="22">
        <f>T76</f>
        <v>469</v>
      </c>
      <c r="HM76" s="22"/>
      <c r="HN76" s="22">
        <f>T76</f>
        <v>469</v>
      </c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</row>
    <row r="77" spans="1:255" x14ac:dyDescent="0.2">
      <c r="A77" s="60"/>
      <c r="B77" s="128" t="s">
        <v>316</v>
      </c>
      <c r="C77" s="128" t="s">
        <v>317</v>
      </c>
      <c r="D77" s="59"/>
      <c r="E77" s="59"/>
      <c r="F77" s="59"/>
      <c r="G77" s="59"/>
      <c r="H77" s="59"/>
      <c r="I77" s="59"/>
      <c r="J77" s="59"/>
      <c r="K77" s="61"/>
    </row>
    <row r="78" spans="1:255" x14ac:dyDescent="0.2">
      <c r="A78" s="118" t="s">
        <v>69</v>
      </c>
      <c r="B78" s="126" t="s">
        <v>70</v>
      </c>
      <c r="C78" s="119" t="s">
        <v>71</v>
      </c>
      <c r="D78" s="120" t="s">
        <v>63</v>
      </c>
      <c r="E78" s="121">
        <f>Source!I35</f>
        <v>26.879999999999995</v>
      </c>
      <c r="F78" s="122">
        <v>0</v>
      </c>
      <c r="G78" s="123"/>
      <c r="H78" s="122">
        <f>Source!AC34</f>
        <v>0</v>
      </c>
      <c r="I78" s="124">
        <f>T78</f>
        <v>0</v>
      </c>
      <c r="J78" s="114" t="s">
        <v>315</v>
      </c>
      <c r="K78" s="125">
        <f>U78</f>
        <v>1986</v>
      </c>
      <c r="L78" s="22"/>
      <c r="M78" s="22"/>
      <c r="N78" s="22"/>
      <c r="O78" s="22"/>
      <c r="P78" s="22"/>
      <c r="Q78" s="22"/>
      <c r="R78" s="22"/>
      <c r="S78" s="22"/>
      <c r="T78" s="22">
        <f>ROUND(Source!AC34*Source!AW34*Source!I34,0)</f>
        <v>0</v>
      </c>
      <c r="U78" s="22">
        <f>Source!P35</f>
        <v>1986</v>
      </c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>
        <v>1</v>
      </c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>
        <f>T78</f>
        <v>0</v>
      </c>
      <c r="DL78" s="22"/>
      <c r="DM78" s="22">
        <f>Source!P35</f>
        <v>1986</v>
      </c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>
        <f>T78</f>
        <v>0</v>
      </c>
      <c r="GK78" s="22"/>
      <c r="GL78" s="22"/>
      <c r="GM78" s="22"/>
      <c r="GN78" s="22">
        <f>T78</f>
        <v>0</v>
      </c>
      <c r="GO78" s="22"/>
      <c r="GP78" s="22">
        <f>T78</f>
        <v>0</v>
      </c>
      <c r="GQ78" s="22">
        <f>T78</f>
        <v>0</v>
      </c>
      <c r="GR78" s="22"/>
      <c r="GS78" s="22">
        <f>T78</f>
        <v>0</v>
      </c>
      <c r="GT78" s="22"/>
      <c r="GU78" s="22"/>
      <c r="GV78" s="22"/>
      <c r="GW78" s="22"/>
      <c r="GX78" s="22"/>
      <c r="GY78" s="22"/>
      <c r="GZ78" s="22"/>
      <c r="HA78" s="22"/>
      <c r="HB78" s="22">
        <f>T78</f>
        <v>0</v>
      </c>
      <c r="HC78" s="22"/>
      <c r="HD78" s="22"/>
      <c r="HE78" s="22"/>
      <c r="HF78" s="22">
        <f>T78</f>
        <v>0</v>
      </c>
      <c r="HG78" s="22"/>
      <c r="HH78" s="22"/>
      <c r="HI78" s="22"/>
      <c r="HJ78" s="22"/>
      <c r="HK78" s="22"/>
      <c r="HL78" s="22">
        <f>T78</f>
        <v>0</v>
      </c>
      <c r="HM78" s="22"/>
      <c r="HN78" s="22">
        <f>T78</f>
        <v>0</v>
      </c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</row>
    <row r="79" spans="1:255" x14ac:dyDescent="0.2">
      <c r="A79" s="60"/>
      <c r="B79" s="128" t="s">
        <v>316</v>
      </c>
      <c r="C79" s="128" t="s">
        <v>318</v>
      </c>
      <c r="D79" s="59"/>
      <c r="E79" s="59"/>
      <c r="F79" s="59"/>
      <c r="G79" s="59"/>
      <c r="H79" s="59"/>
      <c r="I79" s="59"/>
      <c r="J79" s="59"/>
      <c r="K79" s="61"/>
    </row>
    <row r="80" spans="1:255" x14ac:dyDescent="0.2">
      <c r="A80" s="131" t="s">
        <v>74</v>
      </c>
      <c r="B80" s="132" t="s">
        <v>75</v>
      </c>
      <c r="C80" s="133" t="s">
        <v>76</v>
      </c>
      <c r="D80" s="134" t="s">
        <v>77</v>
      </c>
      <c r="E80" s="135">
        <f>Source!I37</f>
        <v>2.8E-3</v>
      </c>
      <c r="F80" s="136">
        <v>7.14</v>
      </c>
      <c r="G80" s="67"/>
      <c r="H80" s="136">
        <f>Source!AC36</f>
        <v>7.14</v>
      </c>
      <c r="I80" s="137">
        <f>T80</f>
        <v>0</v>
      </c>
      <c r="J80" s="69" t="s">
        <v>315</v>
      </c>
      <c r="K80" s="138">
        <f>U80</f>
        <v>0</v>
      </c>
      <c r="L80" s="22"/>
      <c r="M80" s="22"/>
      <c r="N80" s="22"/>
      <c r="O80" s="22"/>
      <c r="P80" s="22"/>
      <c r="Q80" s="22"/>
      <c r="R80" s="22"/>
      <c r="S80" s="22"/>
      <c r="T80" s="22">
        <f>ROUND(Source!AC36*Source!AW36*Source!I36,0)</f>
        <v>0</v>
      </c>
      <c r="U80" s="22">
        <f>Source!P37</f>
        <v>0</v>
      </c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>
        <v>1</v>
      </c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>
        <f>T80</f>
        <v>0</v>
      </c>
      <c r="DL80" s="22"/>
      <c r="DM80" s="22">
        <f>Source!P37</f>
        <v>0</v>
      </c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>
        <f>T80</f>
        <v>0</v>
      </c>
      <c r="GK80" s="22"/>
      <c r="GL80" s="22"/>
      <c r="GM80" s="22"/>
      <c r="GN80" s="22">
        <f>T80</f>
        <v>0</v>
      </c>
      <c r="GO80" s="22"/>
      <c r="GP80" s="22">
        <f>T80</f>
        <v>0</v>
      </c>
      <c r="GQ80" s="22">
        <f>T80</f>
        <v>0</v>
      </c>
      <c r="GR80" s="22"/>
      <c r="GS80" s="22">
        <f>T80</f>
        <v>0</v>
      </c>
      <c r="GT80" s="22"/>
      <c r="GU80" s="22"/>
      <c r="GV80" s="22"/>
      <c r="GW80" s="22"/>
      <c r="GX80" s="22"/>
      <c r="GY80" s="22"/>
      <c r="GZ80" s="22"/>
      <c r="HA80" s="22"/>
      <c r="HB80" s="22">
        <f>T80</f>
        <v>0</v>
      </c>
      <c r="HC80" s="22"/>
      <c r="HD80" s="22"/>
      <c r="HE80" s="22"/>
      <c r="HF80" s="22">
        <f>T80</f>
        <v>0</v>
      </c>
      <c r="HG80" s="22"/>
      <c r="HH80" s="22"/>
      <c r="HI80" s="22"/>
      <c r="HJ80" s="22"/>
      <c r="HK80" s="22"/>
      <c r="HL80" s="22">
        <f>T80</f>
        <v>0</v>
      </c>
      <c r="HM80" s="22"/>
      <c r="HN80" s="22">
        <f>T80</f>
        <v>0</v>
      </c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</row>
    <row r="81" spans="1:255" x14ac:dyDescent="0.2">
      <c r="A81" s="106"/>
      <c r="B81" s="130" t="s">
        <v>316</v>
      </c>
      <c r="C81" s="130" t="s">
        <v>319</v>
      </c>
      <c r="D81" s="32"/>
      <c r="E81" s="32"/>
      <c r="F81" s="32"/>
      <c r="G81" s="32"/>
      <c r="H81" s="32"/>
      <c r="I81" s="32"/>
      <c r="J81" s="32"/>
      <c r="K81" s="107"/>
    </row>
    <row r="82" spans="1:255" ht="13.5" thickBot="1" x14ac:dyDescent="0.25">
      <c r="A82" s="139"/>
      <c r="B82" s="140"/>
      <c r="C82" s="140" t="s">
        <v>320</v>
      </c>
      <c r="D82" s="140"/>
      <c r="E82" s="140"/>
      <c r="F82" s="140"/>
      <c r="G82" s="140"/>
      <c r="H82" s="271">
        <f>SUM(DK70:DK81)</f>
        <v>469</v>
      </c>
      <c r="I82" s="272"/>
      <c r="J82" s="271">
        <f>SUM(DM70:DM81)</f>
        <v>3692</v>
      </c>
      <c r="K82" s="273"/>
      <c r="L82" s="129"/>
      <c r="M82" s="129"/>
      <c r="N82" s="129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</row>
    <row r="83" spans="1:255" x14ac:dyDescent="0.2">
      <c r="A83" s="95"/>
      <c r="B83" s="94"/>
      <c r="C83" s="94" t="s">
        <v>311</v>
      </c>
      <c r="D83" s="94"/>
      <c r="E83" s="94"/>
      <c r="F83" s="94"/>
      <c r="G83" s="94"/>
      <c r="H83" s="265">
        <f>R83</f>
        <v>469</v>
      </c>
      <c r="I83" s="266"/>
      <c r="J83" s="265">
        <f>S83</f>
        <v>3692</v>
      </c>
      <c r="K83" s="267"/>
      <c r="O83" s="22"/>
      <c r="P83" s="22"/>
      <c r="Q83" s="22"/>
      <c r="R83" s="22">
        <f>SUM(T70:T82)</f>
        <v>469</v>
      </c>
      <c r="S83" s="22">
        <f>SUM(U70:U82)</f>
        <v>3692</v>
      </c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>
        <f>R83</f>
        <v>469</v>
      </c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</row>
    <row r="84" spans="1:255" x14ac:dyDescent="0.2">
      <c r="A84" s="73"/>
      <c r="B84" s="72"/>
      <c r="C84" s="72"/>
      <c r="D84" s="72"/>
      <c r="E84" s="72"/>
      <c r="F84" s="72"/>
      <c r="G84" s="72"/>
      <c r="H84" s="268"/>
      <c r="I84" s="269"/>
      <c r="J84" s="268"/>
      <c r="K84" s="270"/>
    </row>
    <row r="85" spans="1:255" ht="36" x14ac:dyDescent="0.2">
      <c r="A85" s="108">
        <v>5</v>
      </c>
      <c r="B85" s="116" t="s">
        <v>81</v>
      </c>
      <c r="C85" s="109" t="s">
        <v>82</v>
      </c>
      <c r="D85" s="110" t="s">
        <v>53</v>
      </c>
      <c r="E85" s="111">
        <v>-8.4000000000000005E-2</v>
      </c>
      <c r="F85" s="112">
        <f>Source!AK39</f>
        <v>0</v>
      </c>
      <c r="G85" s="117" t="s">
        <v>3</v>
      </c>
      <c r="H85" s="112"/>
      <c r="I85" s="113">
        <f>SUM(DQ85:DQ90)</f>
        <v>0</v>
      </c>
      <c r="J85" s="114"/>
      <c r="K85" s="115">
        <f>SUM(DS85:DS90)</f>
        <v>0</v>
      </c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</row>
    <row r="86" spans="1:255" x14ac:dyDescent="0.2">
      <c r="A86" s="62"/>
      <c r="B86" s="63"/>
      <c r="C86" s="63" t="s">
        <v>305</v>
      </c>
      <c r="D86" s="64"/>
      <c r="E86" s="65"/>
      <c r="F86" s="66">
        <v>0</v>
      </c>
      <c r="G86" s="67" t="s">
        <v>84</v>
      </c>
      <c r="H86" s="66">
        <f>Source!AF39</f>
        <v>0</v>
      </c>
      <c r="I86" s="68">
        <f>T86</f>
        <v>0</v>
      </c>
      <c r="J86" s="69">
        <v>36.99</v>
      </c>
      <c r="K86" s="70">
        <f>U86</f>
        <v>0</v>
      </c>
      <c r="O86" s="22"/>
      <c r="P86" s="22"/>
      <c r="Q86" s="22"/>
      <c r="R86" s="22"/>
      <c r="S86" s="22"/>
      <c r="T86" s="22">
        <f>ROUND(Source!AF39*Source!AV39*Source!I39,0)</f>
        <v>0</v>
      </c>
      <c r="U86" s="22">
        <f>Source!S39</f>
        <v>0</v>
      </c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>
        <v>1</v>
      </c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>
        <f>Source!S39</f>
        <v>0</v>
      </c>
      <c r="DH86" s="22">
        <v>1</v>
      </c>
      <c r="DI86" s="22"/>
      <c r="DJ86" s="22"/>
      <c r="DK86" s="22"/>
      <c r="DL86" s="22"/>
      <c r="DM86" s="22"/>
      <c r="DN86" s="22"/>
      <c r="DO86" s="22"/>
      <c r="DP86" s="22"/>
      <c r="DQ86" s="22">
        <f>T86</f>
        <v>0</v>
      </c>
      <c r="DR86" s="22"/>
      <c r="DS86" s="22">
        <f>U86</f>
        <v>0</v>
      </c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>
        <f>T86</f>
        <v>0</v>
      </c>
      <c r="GK86" s="22">
        <f>T86</f>
        <v>0</v>
      </c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>
        <f>T86</f>
        <v>0</v>
      </c>
      <c r="HC86" s="22"/>
      <c r="HD86" s="22"/>
      <c r="HE86" s="22"/>
      <c r="HF86" s="22">
        <f>T86</f>
        <v>0</v>
      </c>
      <c r="HG86" s="22"/>
      <c r="HH86" s="22"/>
      <c r="HI86" s="22"/>
      <c r="HJ86" s="22"/>
      <c r="HK86" s="22"/>
      <c r="HL86" s="22">
        <f>T86</f>
        <v>0</v>
      </c>
      <c r="HM86" s="22"/>
      <c r="HN86" s="22">
        <f>T86</f>
        <v>0</v>
      </c>
      <c r="HO86" s="22"/>
      <c r="HP86" s="22"/>
      <c r="HQ86" s="22"/>
      <c r="HR86" s="22"/>
      <c r="HS86" s="22"/>
      <c r="HT86" s="22"/>
      <c r="HU86" s="22"/>
      <c r="HV86" s="22"/>
      <c r="HW86" s="22"/>
      <c r="HX86" s="22">
        <f>T86</f>
        <v>0</v>
      </c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</row>
    <row r="87" spans="1:255" x14ac:dyDescent="0.2">
      <c r="A87" s="74"/>
      <c r="B87" s="75"/>
      <c r="C87" s="75" t="s">
        <v>313</v>
      </c>
      <c r="D87" s="76"/>
      <c r="E87" s="77"/>
      <c r="F87" s="79">
        <v>0</v>
      </c>
      <c r="G87" s="78" t="s">
        <v>84</v>
      </c>
      <c r="H87" s="79">
        <f>Source!AD39</f>
        <v>0</v>
      </c>
      <c r="I87" s="80">
        <f>T87</f>
        <v>0</v>
      </c>
      <c r="J87" s="91">
        <v>13.51</v>
      </c>
      <c r="K87" s="92">
        <f>U87</f>
        <v>0</v>
      </c>
      <c r="O87" s="22"/>
      <c r="P87" s="22"/>
      <c r="Q87" s="22"/>
      <c r="R87" s="22"/>
      <c r="S87" s="22"/>
      <c r="T87" s="22">
        <f>ROUND(Source!AD39*Source!AV39*Source!I39,0)</f>
        <v>0</v>
      </c>
      <c r="U87" s="22">
        <f>Source!Q39</f>
        <v>0</v>
      </c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>
        <v>1</v>
      </c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>
        <f>T87</f>
        <v>0</v>
      </c>
      <c r="DR87" s="22"/>
      <c r="DS87" s="22">
        <f>U87</f>
        <v>0</v>
      </c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>
        <f>T87</f>
        <v>0</v>
      </c>
      <c r="GK87" s="22"/>
      <c r="GL87" s="22">
        <f>T87</f>
        <v>0</v>
      </c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>
        <f>T87</f>
        <v>0</v>
      </c>
      <c r="HC87" s="22"/>
      <c r="HD87" s="22"/>
      <c r="HE87" s="22"/>
      <c r="HF87" s="22">
        <f>T87</f>
        <v>0</v>
      </c>
      <c r="HG87" s="22"/>
      <c r="HH87" s="22"/>
      <c r="HI87" s="22"/>
      <c r="HJ87" s="22"/>
      <c r="HK87" s="22"/>
      <c r="HL87" s="22">
        <f>T87</f>
        <v>0</v>
      </c>
      <c r="HM87" s="22"/>
      <c r="HN87" s="22">
        <f>T87</f>
        <v>0</v>
      </c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  <c r="IU87" s="22"/>
    </row>
    <row r="88" spans="1:255" x14ac:dyDescent="0.2">
      <c r="A88" s="81"/>
      <c r="B88" s="82"/>
      <c r="C88" s="82" t="s">
        <v>306</v>
      </c>
      <c r="D88" s="83"/>
      <c r="E88" s="84">
        <v>103</v>
      </c>
      <c r="F88" s="85" t="s">
        <v>307</v>
      </c>
      <c r="G88" s="86"/>
      <c r="H88" s="87">
        <f>ROUND((Source!AF39*Source!AV39+Source!AE39*Source!AV39)*(Source!FX39)/100,2)</f>
        <v>0</v>
      </c>
      <c r="I88" s="88">
        <f>T88</f>
        <v>0</v>
      </c>
      <c r="J88" s="90">
        <v>1.03</v>
      </c>
      <c r="K88" s="89">
        <f>U88</f>
        <v>0</v>
      </c>
      <c r="O88" s="22"/>
      <c r="P88" s="22"/>
      <c r="Q88" s="22"/>
      <c r="R88" s="22"/>
      <c r="S88" s="22"/>
      <c r="T88" s="22">
        <f>ROUND((ROUND(Source!AF39*Source!AV39*Source!I39,0)+ROUND(Source!AE39*Source!AV39*Source!I39,0))*(Source!FX39)/100,0)</f>
        <v>0</v>
      </c>
      <c r="U88" s="22">
        <f>Source!X39</f>
        <v>0</v>
      </c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>
        <v>1</v>
      </c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>
        <f>T88</f>
        <v>0</v>
      </c>
      <c r="DR88" s="22"/>
      <c r="DS88" s="22">
        <f>U88</f>
        <v>0</v>
      </c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>
        <f>T88</f>
        <v>0</v>
      </c>
      <c r="GZ88" s="22"/>
      <c r="HA88" s="22"/>
      <c r="HB88" s="22">
        <f>T88</f>
        <v>0</v>
      </c>
      <c r="HC88" s="22"/>
      <c r="HD88" s="22"/>
      <c r="HE88" s="22"/>
      <c r="HF88" s="22">
        <f>T88</f>
        <v>0</v>
      </c>
      <c r="HG88" s="22"/>
      <c r="HH88" s="22"/>
      <c r="HI88" s="22"/>
      <c r="HJ88" s="22"/>
      <c r="HK88" s="22"/>
      <c r="HL88" s="22">
        <f>T88</f>
        <v>0</v>
      </c>
      <c r="HM88" s="22"/>
      <c r="HN88" s="22">
        <f>T88</f>
        <v>0</v>
      </c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  <c r="IU88" s="22"/>
    </row>
    <row r="89" spans="1:255" x14ac:dyDescent="0.2">
      <c r="A89" s="81"/>
      <c r="B89" s="82"/>
      <c r="C89" s="82" t="s">
        <v>308</v>
      </c>
      <c r="D89" s="83"/>
      <c r="E89" s="84">
        <v>59</v>
      </c>
      <c r="F89" s="85" t="s">
        <v>307</v>
      </c>
      <c r="G89" s="86"/>
      <c r="H89" s="87">
        <f>ROUND((Source!AF39*Source!AV39+Source!AE39*Source!AV39)*(Source!FY39)/100,2)</f>
        <v>0</v>
      </c>
      <c r="I89" s="88">
        <f>T89</f>
        <v>0</v>
      </c>
      <c r="J89" s="90">
        <v>0.59</v>
      </c>
      <c r="K89" s="89">
        <f>U89</f>
        <v>0</v>
      </c>
      <c r="O89" s="22"/>
      <c r="P89" s="22"/>
      <c r="Q89" s="22"/>
      <c r="R89" s="22"/>
      <c r="S89" s="22"/>
      <c r="T89" s="22">
        <f>ROUND((ROUND(Source!AF39*Source!AV39*Source!I39,0)+ROUND(Source!AE39*Source!AV39*Source!I39,0))*(Source!FY39)/100,0)</f>
        <v>0</v>
      </c>
      <c r="U89" s="22">
        <f>Source!Y39</f>
        <v>0</v>
      </c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>
        <v>1</v>
      </c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>
        <f>T89</f>
        <v>0</v>
      </c>
      <c r="DR89" s="22"/>
      <c r="DS89" s="22">
        <f>U89</f>
        <v>0</v>
      </c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>
        <f>T89</f>
        <v>0</v>
      </c>
      <c r="HA89" s="22"/>
      <c r="HB89" s="22">
        <f>T89</f>
        <v>0</v>
      </c>
      <c r="HC89" s="22"/>
      <c r="HD89" s="22"/>
      <c r="HE89" s="22"/>
      <c r="HF89" s="22">
        <f>T89</f>
        <v>0</v>
      </c>
      <c r="HG89" s="22"/>
      <c r="HH89" s="22"/>
      <c r="HI89" s="22"/>
      <c r="HJ89" s="22"/>
      <c r="HK89" s="22"/>
      <c r="HL89" s="22">
        <f>T89</f>
        <v>0</v>
      </c>
      <c r="HM89" s="22"/>
      <c r="HN89" s="22">
        <f>T89</f>
        <v>0</v>
      </c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</row>
    <row r="90" spans="1:255" ht="13.5" thickBot="1" x14ac:dyDescent="0.25">
      <c r="A90" s="96"/>
      <c r="B90" s="97"/>
      <c r="C90" s="97" t="s">
        <v>309</v>
      </c>
      <c r="D90" s="98" t="s">
        <v>310</v>
      </c>
      <c r="E90" s="99">
        <v>4.38</v>
      </c>
      <c r="F90" s="100"/>
      <c r="G90" s="101" t="s">
        <v>84</v>
      </c>
      <c r="H90" s="100">
        <f>ROUND(Source!AH39,2)</f>
        <v>15.77</v>
      </c>
      <c r="I90" s="102">
        <f>Source!U39</f>
        <v>-1.3245120000000001</v>
      </c>
      <c r="J90" s="103"/>
      <c r="K90" s="104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</row>
    <row r="91" spans="1:255" x14ac:dyDescent="0.2">
      <c r="A91" s="95"/>
      <c r="B91" s="94"/>
      <c r="C91" s="94" t="s">
        <v>311</v>
      </c>
      <c r="D91" s="94"/>
      <c r="E91" s="94"/>
      <c r="F91" s="94"/>
      <c r="G91" s="94"/>
      <c r="H91" s="265">
        <f>R91</f>
        <v>0</v>
      </c>
      <c r="I91" s="266"/>
      <c r="J91" s="265">
        <f>S91</f>
        <v>0</v>
      </c>
      <c r="K91" s="267"/>
      <c r="O91" s="22"/>
      <c r="P91" s="22"/>
      <c r="Q91" s="22"/>
      <c r="R91" s="22">
        <f>SUM(T85:T90)</f>
        <v>0</v>
      </c>
      <c r="S91" s="22">
        <f>SUM(U85:U90)</f>
        <v>0</v>
      </c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>
        <f>R91</f>
        <v>0</v>
      </c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  <c r="IU91" s="22"/>
    </row>
    <row r="92" spans="1:255" x14ac:dyDescent="0.2">
      <c r="A92" s="73"/>
      <c r="B92" s="72"/>
      <c r="C92" s="72"/>
      <c r="D92" s="72"/>
      <c r="E92" s="72"/>
      <c r="F92" s="72"/>
      <c r="G92" s="72"/>
      <c r="H92" s="268"/>
      <c r="I92" s="269"/>
      <c r="J92" s="268"/>
      <c r="K92" s="270"/>
    </row>
    <row r="93" spans="1:255" ht="56.25" x14ac:dyDescent="0.2">
      <c r="A93" s="108">
        <v>6</v>
      </c>
      <c r="B93" s="116" t="s">
        <v>17</v>
      </c>
      <c r="C93" s="109" t="s">
        <v>86</v>
      </c>
      <c r="D93" s="110" t="s">
        <v>19</v>
      </c>
      <c r="E93" s="111">
        <v>8.4000000000000005E-2</v>
      </c>
      <c r="F93" s="112">
        <f>Source!AK41</f>
        <v>0</v>
      </c>
      <c r="G93" s="117" t="s">
        <v>3</v>
      </c>
      <c r="H93" s="112"/>
      <c r="I93" s="113">
        <f>SUM(DQ93:DQ97)</f>
        <v>0</v>
      </c>
      <c r="J93" s="114"/>
      <c r="K93" s="115">
        <f>SUM(DS93:DS97)</f>
        <v>0</v>
      </c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  <c r="IU93" s="22"/>
    </row>
    <row r="94" spans="1:255" x14ac:dyDescent="0.2">
      <c r="A94" s="62"/>
      <c r="B94" s="63"/>
      <c r="C94" s="63" t="s">
        <v>305</v>
      </c>
      <c r="D94" s="64"/>
      <c r="E94" s="65"/>
      <c r="F94" s="66">
        <v>0</v>
      </c>
      <c r="G94" s="67"/>
      <c r="H94" s="66">
        <f>Source!AF41</f>
        <v>0</v>
      </c>
      <c r="I94" s="68">
        <f>T94</f>
        <v>0</v>
      </c>
      <c r="J94" s="69">
        <v>36.99</v>
      </c>
      <c r="K94" s="70">
        <f>U94</f>
        <v>0</v>
      </c>
      <c r="O94" s="22"/>
      <c r="P94" s="22"/>
      <c r="Q94" s="22"/>
      <c r="R94" s="22"/>
      <c r="S94" s="22"/>
      <c r="T94" s="22">
        <f>ROUND(Source!AF41*Source!AV41*Source!I41,0)</f>
        <v>0</v>
      </c>
      <c r="U94" s="22">
        <f>Source!S41</f>
        <v>0</v>
      </c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>
        <v>1</v>
      </c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>
        <f>Source!S41</f>
        <v>0</v>
      </c>
      <c r="DH94" s="22">
        <v>1</v>
      </c>
      <c r="DI94" s="22"/>
      <c r="DJ94" s="22"/>
      <c r="DK94" s="22"/>
      <c r="DL94" s="22"/>
      <c r="DM94" s="22"/>
      <c r="DN94" s="22"/>
      <c r="DO94" s="22"/>
      <c r="DP94" s="22"/>
      <c r="DQ94" s="22">
        <f>T94</f>
        <v>0</v>
      </c>
      <c r="DR94" s="22"/>
      <c r="DS94" s="22">
        <f>U94</f>
        <v>0</v>
      </c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>
        <f>T94</f>
        <v>0</v>
      </c>
      <c r="GK94" s="22">
        <f>T94</f>
        <v>0</v>
      </c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>
        <f>T94</f>
        <v>0</v>
      </c>
      <c r="HC94" s="22"/>
      <c r="HD94" s="22"/>
      <c r="HE94" s="22"/>
      <c r="HF94" s="22">
        <f>T94</f>
        <v>0</v>
      </c>
      <c r="HG94" s="22"/>
      <c r="HH94" s="22"/>
      <c r="HI94" s="22"/>
      <c r="HJ94" s="22"/>
      <c r="HK94" s="22"/>
      <c r="HL94" s="22">
        <f>T94</f>
        <v>0</v>
      </c>
      <c r="HM94" s="22"/>
      <c r="HN94" s="22">
        <f>T94</f>
        <v>0</v>
      </c>
      <c r="HO94" s="22"/>
      <c r="HP94" s="22"/>
      <c r="HQ94" s="22"/>
      <c r="HR94" s="22"/>
      <c r="HS94" s="22"/>
      <c r="HT94" s="22"/>
      <c r="HU94" s="22"/>
      <c r="HV94" s="22"/>
      <c r="HW94" s="22"/>
      <c r="HX94" s="22">
        <f>T94</f>
        <v>0</v>
      </c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  <c r="IU94" s="22"/>
    </row>
    <row r="95" spans="1:255" x14ac:dyDescent="0.2">
      <c r="A95" s="81"/>
      <c r="B95" s="82"/>
      <c r="C95" s="82" t="s">
        <v>306</v>
      </c>
      <c r="D95" s="83"/>
      <c r="E95" s="84">
        <v>90</v>
      </c>
      <c r="F95" s="85" t="s">
        <v>307</v>
      </c>
      <c r="G95" s="86"/>
      <c r="H95" s="87">
        <f>ROUND((Source!AF41*Source!AV41+Source!AE41*Source!AV41)*(Source!FX41)/100,2)</f>
        <v>0</v>
      </c>
      <c r="I95" s="88">
        <f>T95</f>
        <v>0</v>
      </c>
      <c r="J95" s="90">
        <v>0.9</v>
      </c>
      <c r="K95" s="89">
        <f>U95</f>
        <v>0</v>
      </c>
      <c r="O95" s="22"/>
      <c r="P95" s="22"/>
      <c r="Q95" s="22"/>
      <c r="R95" s="22"/>
      <c r="S95" s="22"/>
      <c r="T95" s="22">
        <f>ROUND((ROUND(Source!AF41*Source!AV41*Source!I41,0)+ROUND(Source!AE41*Source!AV41*Source!I41,0))*(Source!FX41)/100,0)</f>
        <v>0</v>
      </c>
      <c r="U95" s="22">
        <f>Source!X41</f>
        <v>0</v>
      </c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>
        <v>1</v>
      </c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>
        <f>T95</f>
        <v>0</v>
      </c>
      <c r="DR95" s="22"/>
      <c r="DS95" s="22">
        <f>U95</f>
        <v>0</v>
      </c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>
        <f>T95</f>
        <v>0</v>
      </c>
      <c r="GZ95" s="22"/>
      <c r="HA95" s="22"/>
      <c r="HB95" s="22">
        <f>T95</f>
        <v>0</v>
      </c>
      <c r="HC95" s="22"/>
      <c r="HD95" s="22"/>
      <c r="HE95" s="22"/>
      <c r="HF95" s="22">
        <f>T95</f>
        <v>0</v>
      </c>
      <c r="HG95" s="22"/>
      <c r="HH95" s="22"/>
      <c r="HI95" s="22"/>
      <c r="HJ95" s="22"/>
      <c r="HK95" s="22"/>
      <c r="HL95" s="22">
        <f>T95</f>
        <v>0</v>
      </c>
      <c r="HM95" s="22"/>
      <c r="HN95" s="22">
        <f>T95</f>
        <v>0</v>
      </c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  <c r="IU95" s="22"/>
    </row>
    <row r="96" spans="1:255" x14ac:dyDescent="0.2">
      <c r="A96" s="81"/>
      <c r="B96" s="82"/>
      <c r="C96" s="82" t="s">
        <v>308</v>
      </c>
      <c r="D96" s="83"/>
      <c r="E96" s="84">
        <v>46</v>
      </c>
      <c r="F96" s="85" t="s">
        <v>307</v>
      </c>
      <c r="G96" s="86"/>
      <c r="H96" s="87">
        <f>ROUND((Source!AF41*Source!AV41+Source!AE41*Source!AV41)*(Source!FY41)/100,2)</f>
        <v>0</v>
      </c>
      <c r="I96" s="88">
        <f>T96</f>
        <v>0</v>
      </c>
      <c r="J96" s="90">
        <v>0.46</v>
      </c>
      <c r="K96" s="89">
        <f>U96</f>
        <v>0</v>
      </c>
      <c r="O96" s="22"/>
      <c r="P96" s="22"/>
      <c r="Q96" s="22"/>
      <c r="R96" s="22"/>
      <c r="S96" s="22"/>
      <c r="T96" s="22">
        <f>ROUND((ROUND(Source!AF41*Source!AV41*Source!I41,0)+ROUND(Source!AE41*Source!AV41*Source!I41,0))*(Source!FY41)/100,0)</f>
        <v>0</v>
      </c>
      <c r="U96" s="22">
        <f>Source!Y41</f>
        <v>0</v>
      </c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>
        <v>1</v>
      </c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>
        <f>T96</f>
        <v>0</v>
      </c>
      <c r="DR96" s="22"/>
      <c r="DS96" s="22">
        <f>U96</f>
        <v>0</v>
      </c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>
        <f>T96</f>
        <v>0</v>
      </c>
      <c r="HA96" s="22"/>
      <c r="HB96" s="22">
        <f>T96</f>
        <v>0</v>
      </c>
      <c r="HC96" s="22"/>
      <c r="HD96" s="22"/>
      <c r="HE96" s="22"/>
      <c r="HF96" s="22">
        <f>T96</f>
        <v>0</v>
      </c>
      <c r="HG96" s="22"/>
      <c r="HH96" s="22"/>
      <c r="HI96" s="22"/>
      <c r="HJ96" s="22"/>
      <c r="HK96" s="22"/>
      <c r="HL96" s="22">
        <f>T96</f>
        <v>0</v>
      </c>
      <c r="HM96" s="22"/>
      <c r="HN96" s="22">
        <f>T96</f>
        <v>0</v>
      </c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  <c r="IU96" s="22"/>
    </row>
    <row r="97" spans="1:255" ht="13.5" thickBot="1" x14ac:dyDescent="0.25">
      <c r="A97" s="96"/>
      <c r="B97" s="97"/>
      <c r="C97" s="97" t="s">
        <v>309</v>
      </c>
      <c r="D97" s="98" t="s">
        <v>310</v>
      </c>
      <c r="E97" s="99">
        <v>20.8</v>
      </c>
      <c r="F97" s="100"/>
      <c r="G97" s="101"/>
      <c r="H97" s="100">
        <f>ROUND(Source!AH41,2)</f>
        <v>20.8</v>
      </c>
      <c r="I97" s="102">
        <f>Source!U41</f>
        <v>1.7472000000000001</v>
      </c>
      <c r="J97" s="103"/>
      <c r="K97" s="104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  <c r="IU97" s="22"/>
    </row>
    <row r="98" spans="1:255" x14ac:dyDescent="0.2">
      <c r="A98" s="95"/>
      <c r="B98" s="94"/>
      <c r="C98" s="94" t="s">
        <v>311</v>
      </c>
      <c r="D98" s="94"/>
      <c r="E98" s="94"/>
      <c r="F98" s="94"/>
      <c r="G98" s="94"/>
      <c r="H98" s="265">
        <f>R98</f>
        <v>0</v>
      </c>
      <c r="I98" s="266"/>
      <c r="J98" s="265">
        <f>S98</f>
        <v>0</v>
      </c>
      <c r="K98" s="267"/>
      <c r="O98" s="22"/>
      <c r="P98" s="22"/>
      <c r="Q98" s="22"/>
      <c r="R98" s="22">
        <f>SUM(T93:T97)</f>
        <v>0</v>
      </c>
      <c r="S98" s="22">
        <f>SUM(U93:U97)</f>
        <v>0</v>
      </c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>
        <f>R98</f>
        <v>0</v>
      </c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  <c r="IU98" s="22"/>
    </row>
    <row r="99" spans="1:255" ht="13.5" thickBot="1" x14ac:dyDescent="0.25">
      <c r="A99" s="73"/>
      <c r="B99" s="72"/>
      <c r="C99" s="72"/>
      <c r="D99" s="72"/>
      <c r="E99" s="72"/>
      <c r="F99" s="72"/>
      <c r="G99" s="72"/>
      <c r="H99" s="268"/>
      <c r="I99" s="269"/>
      <c r="J99" s="268"/>
      <c r="K99" s="270"/>
    </row>
    <row r="100" spans="1:255" x14ac:dyDescent="0.2">
      <c r="A100" s="142"/>
      <c r="B100" s="142"/>
      <c r="C100" s="143" t="s">
        <v>321</v>
      </c>
      <c r="D100" s="143"/>
      <c r="E100" s="143"/>
      <c r="F100" s="143"/>
      <c r="G100" s="143"/>
      <c r="H100" s="143"/>
      <c r="I100" s="144">
        <f>SUM(HA47:HA99)</f>
        <v>469</v>
      </c>
      <c r="J100" s="143"/>
      <c r="K100" s="144">
        <f>Source!EJ43</f>
        <v>3692</v>
      </c>
      <c r="P100" s="22">
        <f>SUM(R47:R99)</f>
        <v>469</v>
      </c>
      <c r="Q100" s="22">
        <f>SUM(S47:S99)</f>
        <v>3692</v>
      </c>
      <c r="R100" s="22"/>
      <c r="S100" s="22"/>
      <c r="T100" s="22"/>
      <c r="U100" s="22"/>
      <c r="V100" s="22"/>
      <c r="W100" s="22"/>
    </row>
    <row r="102" spans="1:255" x14ac:dyDescent="0.2">
      <c r="C102" s="146" t="s">
        <v>324</v>
      </c>
      <c r="D102" s="146"/>
      <c r="E102" s="146"/>
      <c r="F102" s="146"/>
      <c r="G102" s="146"/>
      <c r="H102" s="146"/>
      <c r="I102" s="146"/>
      <c r="J102" s="146"/>
      <c r="K102" s="146"/>
    </row>
    <row r="103" spans="1:255" x14ac:dyDescent="0.2">
      <c r="C103" s="12" t="s">
        <v>88</v>
      </c>
      <c r="D103" s="12"/>
      <c r="E103" s="12"/>
      <c r="F103" s="12"/>
      <c r="G103" s="12"/>
      <c r="H103" s="12"/>
      <c r="I103" s="147">
        <f>SUM(GK47:GK99)+SUM(GL47:GL99)+SUM(GQ47:GQ99)+SUM(IA47:IA99)+SUM(HK47:HK99)</f>
        <v>469</v>
      </c>
      <c r="J103" s="12"/>
      <c r="K103" s="147">
        <f>Source!DK43+Source!DI43+Source!EO43+SUM(DB47:DB99)+SUM(DD47:DD99)</f>
        <v>3692</v>
      </c>
    </row>
    <row r="104" spans="1:255" x14ac:dyDescent="0.2">
      <c r="C104" s="148" t="s">
        <v>324</v>
      </c>
      <c r="D104" s="146"/>
      <c r="E104" s="146"/>
      <c r="F104" s="146"/>
      <c r="G104" s="146"/>
      <c r="H104" s="146"/>
      <c r="I104" s="146"/>
      <c r="J104" s="146"/>
      <c r="K104" s="146"/>
    </row>
    <row r="105" spans="1:255" x14ac:dyDescent="0.2">
      <c r="C105" s="150" t="s">
        <v>325</v>
      </c>
      <c r="D105" s="149"/>
      <c r="E105" s="149"/>
      <c r="F105" s="149"/>
      <c r="G105" s="149"/>
      <c r="H105" s="149"/>
      <c r="I105" s="151">
        <f>SUM(GK47:GK99)</f>
        <v>0</v>
      </c>
      <c r="J105" s="149"/>
      <c r="K105" s="151">
        <f>Source!DK43</f>
        <v>0</v>
      </c>
    </row>
    <row r="106" spans="1:255" x14ac:dyDescent="0.2">
      <c r="C106" s="152" t="s">
        <v>326</v>
      </c>
      <c r="D106" s="146"/>
      <c r="E106" s="146"/>
      <c r="F106" s="146"/>
      <c r="G106" s="146"/>
      <c r="H106" s="146"/>
      <c r="I106" s="146"/>
      <c r="J106" s="146"/>
      <c r="K106" s="146"/>
    </row>
    <row r="107" spans="1:255" hidden="1" x14ac:dyDescent="0.2">
      <c r="C107" s="153" t="s">
        <v>327</v>
      </c>
      <c r="D107" s="149"/>
      <c r="E107" s="149"/>
      <c r="F107" s="149"/>
      <c r="G107" s="149"/>
      <c r="H107" s="149"/>
      <c r="I107" s="151">
        <f>SUMIF(DH47:DH99,1001,GK47:GK99)</f>
        <v>0</v>
      </c>
      <c r="J107" s="149"/>
      <c r="K107" s="151">
        <f>SUMIF(DH47:DH99,1001,DG47:DG99)</f>
        <v>0</v>
      </c>
    </row>
    <row r="108" spans="1:255" hidden="1" x14ac:dyDescent="0.2">
      <c r="C108" s="153" t="s">
        <v>328</v>
      </c>
      <c r="D108" s="149"/>
      <c r="E108" s="149"/>
      <c r="F108" s="149"/>
      <c r="G108" s="149"/>
      <c r="H108" s="149"/>
      <c r="I108" s="151">
        <f>SUMIF(DH47:DH99,1002,GK47:GK99)</f>
        <v>0</v>
      </c>
      <c r="J108" s="149"/>
      <c r="K108" s="151">
        <f>SUMIF(DH47:DH99,1002,DG47:DG99)</f>
        <v>0</v>
      </c>
    </row>
    <row r="109" spans="1:255" hidden="1" x14ac:dyDescent="0.2">
      <c r="C109" s="153" t="s">
        <v>329</v>
      </c>
      <c r="D109" s="149"/>
      <c r="E109" s="149"/>
      <c r="F109" s="149"/>
      <c r="G109" s="149"/>
      <c r="H109" s="149"/>
      <c r="I109" s="151">
        <f>SUMIF(DH47:DH99,1003,GK47:GK99)</f>
        <v>0</v>
      </c>
      <c r="J109" s="149"/>
      <c r="K109" s="151">
        <f>SUMIF(DH47:DH99,1003,DG47:DG99)</f>
        <v>0</v>
      </c>
    </row>
    <row r="110" spans="1:255" hidden="1" x14ac:dyDescent="0.2">
      <c r="C110" s="153" t="s">
        <v>330</v>
      </c>
      <c r="D110" s="149"/>
      <c r="E110" s="149"/>
      <c r="F110" s="149"/>
      <c r="G110" s="149"/>
      <c r="H110" s="149"/>
      <c r="I110" s="151">
        <f>SUMIF(DH47:DH99,1004,GK47:GK99)</f>
        <v>0</v>
      </c>
      <c r="J110" s="149"/>
      <c r="K110" s="151">
        <f>SUMIF(DH47:DH99,1004,DG47:DG99)</f>
        <v>0</v>
      </c>
    </row>
    <row r="111" spans="1:255" hidden="1" x14ac:dyDescent="0.2">
      <c r="C111" s="153" t="s">
        <v>331</v>
      </c>
      <c r="D111" s="149"/>
      <c r="E111" s="149"/>
      <c r="F111" s="149"/>
      <c r="G111" s="149"/>
      <c r="H111" s="149"/>
      <c r="I111" s="151">
        <f>SUMIF(DH47:DH99,1005,GK47:GK99)</f>
        <v>0</v>
      </c>
      <c r="J111" s="149"/>
      <c r="K111" s="151">
        <f>SUMIF(DH47:DH99,1005,DG47:DG99)</f>
        <v>0</v>
      </c>
    </row>
    <row r="112" spans="1:255" hidden="1" x14ac:dyDescent="0.2">
      <c r="C112" s="153" t="s">
        <v>332</v>
      </c>
      <c r="D112" s="149"/>
      <c r="E112" s="149"/>
      <c r="F112" s="149"/>
      <c r="G112" s="149"/>
      <c r="H112" s="149"/>
      <c r="I112" s="151">
        <f>SUMIF(DH47:DH99,1006,GK47:GK99)</f>
        <v>0</v>
      </c>
      <c r="J112" s="149"/>
      <c r="K112" s="151">
        <f>SUMIF(DH47:DH99,1006,DG47:DG99)</f>
        <v>0</v>
      </c>
    </row>
    <row r="113" spans="3:11" hidden="1" x14ac:dyDescent="0.2">
      <c r="C113" s="153" t="s">
        <v>333</v>
      </c>
      <c r="D113" s="149"/>
      <c r="E113" s="149"/>
      <c r="F113" s="149"/>
      <c r="G113" s="149"/>
      <c r="H113" s="149"/>
      <c r="I113" s="151">
        <f>SUMIF(DH47:DH99,1007,GK47:GK99)</f>
        <v>0</v>
      </c>
      <c r="J113" s="149"/>
      <c r="K113" s="151">
        <f>SUMIF(DH47:DH99,1007,DG47:DG99)</f>
        <v>0</v>
      </c>
    </row>
    <row r="114" spans="3:11" hidden="1" x14ac:dyDescent="0.2">
      <c r="C114" s="153" t="s">
        <v>334</v>
      </c>
      <c r="D114" s="149"/>
      <c r="E114" s="149"/>
      <c r="F114" s="149"/>
      <c r="G114" s="149"/>
      <c r="H114" s="149"/>
      <c r="I114" s="151">
        <f>SUMIF(DH47:DH99,1008,GK47:GK99)</f>
        <v>0</v>
      </c>
      <c r="J114" s="149"/>
      <c r="K114" s="151">
        <f>SUMIF(DH47:DH99,1008,DG47:DG99)</f>
        <v>0</v>
      </c>
    </row>
    <row r="115" spans="3:11" hidden="1" x14ac:dyDescent="0.2">
      <c r="C115" s="153" t="s">
        <v>335</v>
      </c>
      <c r="D115" s="149"/>
      <c r="E115" s="149"/>
      <c r="F115" s="149"/>
      <c r="G115" s="149"/>
      <c r="H115" s="149"/>
      <c r="I115" s="151">
        <f>SUMIF(DH47:DH99,1009,GK47:GK99)</f>
        <v>0</v>
      </c>
      <c r="J115" s="149"/>
      <c r="K115" s="151">
        <f>SUMIF(DH47:DH99,1009,DG47:DG99)</f>
        <v>0</v>
      </c>
    </row>
    <row r="116" spans="3:11" hidden="1" x14ac:dyDescent="0.2">
      <c r="C116" s="153" t="s">
        <v>336</v>
      </c>
      <c r="D116" s="149"/>
      <c r="E116" s="149"/>
      <c r="F116" s="149"/>
      <c r="G116" s="149"/>
      <c r="H116" s="149"/>
      <c r="I116" s="151">
        <f>SUMIF(DH47:DH99,1010,GK47:GK99)</f>
        <v>0</v>
      </c>
      <c r="J116" s="149"/>
      <c r="K116" s="151">
        <f>SUMIF(DH47:DH99,1010,DG47:DG99)</f>
        <v>0</v>
      </c>
    </row>
    <row r="117" spans="3:11" hidden="1" x14ac:dyDescent="0.2">
      <c r="C117" s="153" t="s">
        <v>337</v>
      </c>
      <c r="D117" s="149"/>
      <c r="E117" s="149"/>
      <c r="F117" s="149"/>
      <c r="G117" s="149"/>
      <c r="H117" s="149"/>
      <c r="I117" s="151">
        <f>SUMIF(DH47:DH99,1011,GK47:GK99)</f>
        <v>0</v>
      </c>
      <c r="J117" s="149"/>
      <c r="K117" s="151">
        <f>SUMIF(DH47:DH99,1011,DG47:DG99)</f>
        <v>0</v>
      </c>
    </row>
    <row r="118" spans="3:11" hidden="1" x14ac:dyDescent="0.2">
      <c r="C118" s="153" t="s">
        <v>338</v>
      </c>
      <c r="D118" s="149"/>
      <c r="E118" s="149"/>
      <c r="F118" s="149"/>
      <c r="G118" s="149"/>
      <c r="H118" s="149"/>
      <c r="I118" s="151">
        <f>SUMIF(DH47:DH99,1012,GK47:GK99)</f>
        <v>0</v>
      </c>
      <c r="J118" s="149"/>
      <c r="K118" s="151">
        <f>SUMIF(DH47:DH99,1012,DG47:DG99)</f>
        <v>0</v>
      </c>
    </row>
    <row r="119" spans="3:11" hidden="1" x14ac:dyDescent="0.2">
      <c r="C119" s="153" t="s">
        <v>339</v>
      </c>
      <c r="D119" s="149"/>
      <c r="E119" s="149"/>
      <c r="F119" s="149"/>
      <c r="G119" s="149"/>
      <c r="H119" s="149"/>
      <c r="I119" s="151">
        <f>SUMIF(DH47:DH99,1013,GK47:GK99)</f>
        <v>0</v>
      </c>
      <c r="J119" s="149"/>
      <c r="K119" s="151">
        <f>SUMIF(DH47:DH99,1013,DG47:DG99)</f>
        <v>0</v>
      </c>
    </row>
    <row r="120" spans="3:11" hidden="1" x14ac:dyDescent="0.2">
      <c r="C120" s="153" t="s">
        <v>340</v>
      </c>
      <c r="D120" s="149"/>
      <c r="E120" s="149"/>
      <c r="F120" s="149"/>
      <c r="G120" s="149"/>
      <c r="H120" s="149"/>
      <c r="I120" s="151">
        <f>SUMIF(DH47:DH99,1014,GK47:GK99)</f>
        <v>0</v>
      </c>
      <c r="J120" s="149"/>
      <c r="K120" s="151">
        <f>SUMIF(DH47:DH99,1014,DG47:DG99)</f>
        <v>0</v>
      </c>
    </row>
    <row r="121" spans="3:11" hidden="1" x14ac:dyDescent="0.2">
      <c r="C121" s="153" t="s">
        <v>341</v>
      </c>
      <c r="D121" s="149"/>
      <c r="E121" s="149"/>
      <c r="F121" s="149"/>
      <c r="G121" s="149"/>
      <c r="H121" s="149"/>
      <c r="I121" s="151">
        <f>SUMIF(DH47:DH99,1015,GK47:GK99)</f>
        <v>0</v>
      </c>
      <c r="J121" s="149"/>
      <c r="K121" s="151">
        <f>SUMIF(DH47:DH99,1015,DG47:DG99)</f>
        <v>0</v>
      </c>
    </row>
    <row r="122" spans="3:11" x14ac:dyDescent="0.2">
      <c r="C122" s="153" t="s">
        <v>342</v>
      </c>
      <c r="D122" s="149"/>
      <c r="E122" s="149"/>
      <c r="F122" s="149"/>
      <c r="G122" s="149"/>
      <c r="H122" s="149"/>
      <c r="I122" s="151">
        <f>SUMIF(DH47:DH99,1,GK47:GK99)</f>
        <v>0</v>
      </c>
      <c r="J122" s="149"/>
      <c r="K122" s="151">
        <f>SUMIF(DH47:DH99,1,DG47:DG99)</f>
        <v>0</v>
      </c>
    </row>
    <row r="123" spans="3:11" x14ac:dyDescent="0.2">
      <c r="C123" s="155" t="s">
        <v>343</v>
      </c>
      <c r="D123" s="154"/>
      <c r="E123" s="154"/>
      <c r="F123" s="154"/>
      <c r="G123" s="154"/>
      <c r="H123" s="154"/>
      <c r="I123" s="156">
        <f>SUM(GL47:GL99)</f>
        <v>0</v>
      </c>
      <c r="J123" s="154"/>
      <c r="K123" s="156">
        <f>Source!DI43</f>
        <v>0</v>
      </c>
    </row>
    <row r="124" spans="3:11" x14ac:dyDescent="0.2">
      <c r="C124" s="152" t="s">
        <v>324</v>
      </c>
      <c r="D124" s="146"/>
      <c r="E124" s="146"/>
      <c r="F124" s="146"/>
      <c r="G124" s="146"/>
      <c r="H124" s="146"/>
      <c r="I124" s="146"/>
      <c r="J124" s="146"/>
      <c r="K124" s="146"/>
    </row>
    <row r="125" spans="3:11" x14ac:dyDescent="0.2">
      <c r="C125" s="157" t="s">
        <v>344</v>
      </c>
      <c r="D125" s="154"/>
      <c r="E125" s="154"/>
      <c r="F125" s="154"/>
      <c r="G125" s="154"/>
      <c r="H125" s="154"/>
      <c r="I125" s="156">
        <f>SUM(GM47:GM99)</f>
        <v>0</v>
      </c>
      <c r="J125" s="154"/>
      <c r="K125" s="156">
        <f>Source!DJ43</f>
        <v>0</v>
      </c>
    </row>
    <row r="126" spans="3:11" x14ac:dyDescent="0.2">
      <c r="C126" s="158" t="s">
        <v>345</v>
      </c>
      <c r="D126" s="129"/>
      <c r="E126" s="129"/>
      <c r="F126" s="129"/>
      <c r="G126" s="129"/>
      <c r="H126" s="129"/>
      <c r="I126" s="159">
        <f>SUM(GQ47:GQ99)+SUM(IA47:IA99)</f>
        <v>469</v>
      </c>
      <c r="J126" s="129"/>
      <c r="K126" s="159">
        <f>Source!EO43+SUM(DB47:DB99)</f>
        <v>3692</v>
      </c>
    </row>
    <row r="127" spans="3:11" hidden="1" x14ac:dyDescent="0.2">
      <c r="C127" s="160" t="s">
        <v>324</v>
      </c>
      <c r="D127" s="129"/>
      <c r="E127" s="129"/>
      <c r="F127" s="129"/>
      <c r="G127" s="129"/>
      <c r="H127" s="129"/>
      <c r="I127" s="159"/>
      <c r="J127" s="129"/>
      <c r="K127" s="159"/>
    </row>
    <row r="128" spans="3:11" hidden="1" x14ac:dyDescent="0.2">
      <c r="C128" s="161" t="s">
        <v>346</v>
      </c>
      <c r="D128" s="129"/>
      <c r="E128" s="129"/>
      <c r="F128" s="129"/>
      <c r="G128" s="129"/>
      <c r="H128" s="129"/>
      <c r="I128" s="159">
        <f>SUM(GQ47:GQ99)</f>
        <v>469</v>
      </c>
      <c r="J128" s="129"/>
      <c r="K128" s="159">
        <f>Source!EO43</f>
        <v>3692</v>
      </c>
    </row>
    <row r="129" spans="1:11" hidden="1" x14ac:dyDescent="0.2">
      <c r="C129" s="162" t="s">
        <v>347</v>
      </c>
      <c r="D129" s="129"/>
      <c r="E129" s="129"/>
      <c r="F129" s="129"/>
      <c r="G129" s="129"/>
      <c r="H129" s="129"/>
      <c r="I129" s="159">
        <f>SUM(GR47:GR99)</f>
        <v>0</v>
      </c>
      <c r="J129" s="129"/>
      <c r="K129" s="159">
        <f>Source!EP43</f>
        <v>0</v>
      </c>
    </row>
    <row r="130" spans="1:11" hidden="1" x14ac:dyDescent="0.2">
      <c r="C130" s="162" t="s">
        <v>348</v>
      </c>
      <c r="D130" s="129"/>
      <c r="E130" s="129"/>
      <c r="F130" s="129"/>
      <c r="G130" s="129"/>
      <c r="H130" s="129"/>
      <c r="I130" s="159">
        <f>SUM(GS47:GS99)</f>
        <v>469</v>
      </c>
      <c r="J130" s="129"/>
      <c r="K130" s="159">
        <f>Source!EQ43</f>
        <v>3692</v>
      </c>
    </row>
    <row r="131" spans="1:11" hidden="1" x14ac:dyDescent="0.2">
      <c r="C131" s="161" t="s">
        <v>349</v>
      </c>
      <c r="D131" s="129"/>
      <c r="E131" s="129"/>
      <c r="F131" s="129"/>
      <c r="G131" s="129"/>
      <c r="H131" s="129"/>
      <c r="I131" s="159">
        <f>SUM(IA47:IA99)</f>
        <v>0</v>
      </c>
      <c r="J131" s="129"/>
      <c r="K131" s="159">
        <f>SUM(DB47:DB99)</f>
        <v>0</v>
      </c>
    </row>
    <row r="132" spans="1:11" hidden="1" x14ac:dyDescent="0.2">
      <c r="C132" s="163" t="s">
        <v>350</v>
      </c>
      <c r="D132" s="145"/>
      <c r="E132" s="145"/>
      <c r="F132" s="145"/>
      <c r="G132" s="145"/>
      <c r="H132" s="145"/>
      <c r="I132" s="164">
        <f>SUM(HK47:HK99)</f>
        <v>0</v>
      </c>
      <c r="J132" s="145"/>
      <c r="K132" s="164">
        <f>SUM(DD47:DD99)</f>
        <v>0</v>
      </c>
    </row>
    <row r="134" spans="1:11" hidden="1" x14ac:dyDescent="0.2">
      <c r="C134" s="149" t="s">
        <v>351</v>
      </c>
      <c r="D134" s="149"/>
      <c r="E134" s="149"/>
      <c r="F134" s="149"/>
      <c r="G134" s="149"/>
      <c r="H134" s="149"/>
      <c r="I134" s="151">
        <f>SUM(GK47:GK99)+SUM(GM47:GM99)</f>
        <v>0</v>
      </c>
      <c r="J134" s="149"/>
      <c r="K134" s="151">
        <f>Source!DK43+Source!DJ43</f>
        <v>0</v>
      </c>
    </row>
    <row r="136" spans="1:11" x14ac:dyDescent="0.2">
      <c r="A136" s="165"/>
      <c r="B136" s="165"/>
      <c r="C136" s="165" t="s">
        <v>352</v>
      </c>
      <c r="D136" s="165"/>
      <c r="E136" s="165"/>
      <c r="F136" s="165"/>
      <c r="G136" s="165"/>
      <c r="H136" s="165"/>
      <c r="I136" s="166">
        <f>SUM(GY47:GY99)</f>
        <v>0</v>
      </c>
      <c r="J136" s="165"/>
      <c r="K136" s="166">
        <f>Source!DP43</f>
        <v>0</v>
      </c>
    </row>
    <row r="137" spans="1:11" x14ac:dyDescent="0.2">
      <c r="A137" s="165"/>
      <c r="B137" s="165"/>
      <c r="C137" s="165" t="s">
        <v>353</v>
      </c>
      <c r="D137" s="165"/>
      <c r="E137" s="165"/>
      <c r="F137" s="165"/>
      <c r="G137" s="165"/>
      <c r="H137" s="165"/>
      <c r="I137" s="166">
        <f>SUM(GZ47:GZ99)</f>
        <v>0</v>
      </c>
      <c r="J137" s="165"/>
      <c r="K137" s="166">
        <f>Source!DQ43</f>
        <v>0</v>
      </c>
    </row>
    <row r="139" spans="1:11" hidden="1" x14ac:dyDescent="0.2">
      <c r="C139" s="167" t="s">
        <v>354</v>
      </c>
      <c r="D139" s="167"/>
      <c r="E139" s="167"/>
      <c r="F139" s="167"/>
      <c r="G139" s="167"/>
      <c r="H139" s="167"/>
      <c r="I139" s="168">
        <f>SUM(GT47:GT99)+SUM(IB47:IB99)</f>
        <v>0</v>
      </c>
      <c r="J139" s="167"/>
      <c r="K139" s="168">
        <f>Source!EH43+SUM(DC47:DC99)</f>
        <v>0</v>
      </c>
    </row>
    <row r="140" spans="1:11" hidden="1" x14ac:dyDescent="0.2">
      <c r="C140" s="169" t="s">
        <v>324</v>
      </c>
      <c r="D140" s="170"/>
      <c r="E140" s="170"/>
      <c r="F140" s="170"/>
      <c r="G140" s="170"/>
      <c r="H140" s="170"/>
      <c r="I140" s="170"/>
      <c r="J140" s="170"/>
      <c r="K140" s="170"/>
    </row>
    <row r="141" spans="1:11" hidden="1" x14ac:dyDescent="0.2">
      <c r="C141" s="171" t="s">
        <v>355</v>
      </c>
      <c r="D141" s="167"/>
      <c r="E141" s="167"/>
      <c r="F141" s="167"/>
      <c r="G141" s="167"/>
      <c r="H141" s="167"/>
      <c r="I141" s="168">
        <f>SUM(GT47:GT99)</f>
        <v>0</v>
      </c>
      <c r="J141" s="167"/>
      <c r="K141" s="168">
        <f>Source!EH43</f>
        <v>0</v>
      </c>
    </row>
    <row r="142" spans="1:11" hidden="1" x14ac:dyDescent="0.2">
      <c r="C142" s="172" t="s">
        <v>356</v>
      </c>
      <c r="D142" s="167"/>
      <c r="E142" s="167"/>
      <c r="F142" s="167"/>
      <c r="G142" s="167"/>
      <c r="H142" s="167"/>
      <c r="I142" s="168">
        <f>SUM(GU47:GU99)</f>
        <v>0</v>
      </c>
      <c r="J142" s="167"/>
      <c r="K142" s="168">
        <f>Source!EI43</f>
        <v>0</v>
      </c>
    </row>
    <row r="143" spans="1:11" hidden="1" x14ac:dyDescent="0.2">
      <c r="C143" s="172" t="s">
        <v>357</v>
      </c>
      <c r="D143" s="167"/>
      <c r="E143" s="167"/>
      <c r="F143" s="167"/>
      <c r="G143" s="167"/>
      <c r="H143" s="167"/>
      <c r="I143" s="168">
        <f>SUM(GV47:GV99)</f>
        <v>0</v>
      </c>
      <c r="J143" s="167"/>
      <c r="K143" s="168">
        <f>Source!ER43</f>
        <v>0</v>
      </c>
    </row>
    <row r="144" spans="1:11" hidden="1" x14ac:dyDescent="0.2">
      <c r="C144" s="171" t="s">
        <v>358</v>
      </c>
      <c r="D144" s="167"/>
      <c r="E144" s="167"/>
      <c r="F144" s="167"/>
      <c r="G144" s="167"/>
      <c r="H144" s="167"/>
      <c r="I144" s="168">
        <f>SUM(IB47:IB99)</f>
        <v>0</v>
      </c>
      <c r="J144" s="167"/>
      <c r="K144" s="168">
        <f>SUM(DC47:DC99)</f>
        <v>0</v>
      </c>
    </row>
    <row r="146" spans="3:11" x14ac:dyDescent="0.2">
      <c r="C146" s="12" t="s">
        <v>359</v>
      </c>
      <c r="D146" s="12"/>
      <c r="E146" s="12"/>
      <c r="F146" s="12"/>
      <c r="G146" s="12"/>
      <c r="H146" s="12"/>
      <c r="I146" s="147">
        <f>SUM(HA47:HA99)</f>
        <v>469</v>
      </c>
      <c r="J146" s="12"/>
      <c r="K146" s="147">
        <f>Source!EJ43</f>
        <v>3692</v>
      </c>
    </row>
    <row r="147" spans="3:11" hidden="1" x14ac:dyDescent="0.2">
      <c r="C147" s="148" t="s">
        <v>360</v>
      </c>
      <c r="D147" s="146"/>
      <c r="E147" s="146"/>
      <c r="F147" s="146"/>
      <c r="G147" s="146"/>
      <c r="H147" s="146"/>
      <c r="I147" s="146"/>
      <c r="J147" s="146"/>
      <c r="K147" s="146"/>
    </row>
    <row r="148" spans="3:11" hidden="1" x14ac:dyDescent="0.2">
      <c r="C148" s="173" t="s">
        <v>361</v>
      </c>
      <c r="D148" s="12"/>
      <c r="E148" s="12"/>
      <c r="F148" s="12"/>
      <c r="G148" s="12"/>
      <c r="H148" s="12"/>
      <c r="I148" s="147">
        <f>SUM(HB47:HB99)</f>
        <v>469</v>
      </c>
      <c r="J148" s="12"/>
      <c r="K148" s="147">
        <f>Source!EK43</f>
        <v>3692</v>
      </c>
    </row>
    <row r="149" spans="3:11" hidden="1" x14ac:dyDescent="0.2">
      <c r="C149" s="173" t="s">
        <v>362</v>
      </c>
      <c r="D149" s="12"/>
      <c r="E149" s="12"/>
      <c r="F149" s="12"/>
      <c r="G149" s="12"/>
      <c r="H149" s="12"/>
      <c r="I149" s="147">
        <f>SUM(HC47:HC99)</f>
        <v>0</v>
      </c>
      <c r="J149" s="12"/>
      <c r="K149" s="147">
        <f>Source!EL43</f>
        <v>0</v>
      </c>
    </row>
    <row r="150" spans="3:11" hidden="1" x14ac:dyDescent="0.2">
      <c r="C150" s="171" t="s">
        <v>363</v>
      </c>
      <c r="D150" s="167"/>
      <c r="E150" s="167"/>
      <c r="F150" s="167"/>
      <c r="G150" s="167"/>
      <c r="H150" s="167"/>
      <c r="I150" s="168">
        <f>SUM(HD47:HD99)</f>
        <v>0</v>
      </c>
      <c r="J150" s="167"/>
      <c r="K150" s="168">
        <f>Source!EH43+SUM(DC47:DC99)</f>
        <v>0</v>
      </c>
    </row>
    <row r="151" spans="3:11" hidden="1" x14ac:dyDescent="0.2">
      <c r="C151" s="173" t="s">
        <v>121</v>
      </c>
      <c r="D151" s="12"/>
      <c r="E151" s="12"/>
      <c r="F151" s="12"/>
      <c r="G151" s="12"/>
      <c r="H151" s="12"/>
      <c r="I151" s="147">
        <f>SUM(HE47:HE99)</f>
        <v>0</v>
      </c>
      <c r="J151" s="12"/>
      <c r="K151" s="147">
        <f>Source!EM43</f>
        <v>0</v>
      </c>
    </row>
    <row r="152" spans="3:11" hidden="1" x14ac:dyDescent="0.2"/>
    <row r="153" spans="3:11" hidden="1" x14ac:dyDescent="0.2">
      <c r="C153" s="12" t="s">
        <v>364</v>
      </c>
      <c r="D153" s="12"/>
      <c r="E153" s="12"/>
      <c r="F153" s="12"/>
      <c r="G153" s="12"/>
      <c r="H153" s="12"/>
      <c r="I153" s="147">
        <f>SUM(HB47:HB99)+SUM(HC47:HC99)</f>
        <v>469</v>
      </c>
      <c r="J153" s="12"/>
      <c r="K153" s="147">
        <f>Source!EK43+Source!EL43</f>
        <v>3692</v>
      </c>
    </row>
    <row r="155" spans="3:11" x14ac:dyDescent="0.2">
      <c r="C155" s="24" t="s">
        <v>139</v>
      </c>
      <c r="D155" s="24"/>
      <c r="E155" s="24"/>
      <c r="F155" s="24"/>
      <c r="G155" s="24"/>
      <c r="H155" s="24"/>
      <c r="I155" s="174">
        <f>I153+SUM(HD47:HD99)+SUM(HE47:HE99)</f>
        <v>469</v>
      </c>
      <c r="J155" s="24"/>
      <c r="K155" s="174">
        <f>K153+Source!EH43+SUM(DC47:DC99)+Source!EM43</f>
        <v>3692</v>
      </c>
    </row>
    <row r="156" spans="3:11" x14ac:dyDescent="0.2">
      <c r="C156" s="12" t="s">
        <v>365</v>
      </c>
      <c r="D156" s="12"/>
      <c r="E156" s="23">
        <v>22</v>
      </c>
      <c r="F156" s="175" t="s">
        <v>307</v>
      </c>
      <c r="G156" s="12"/>
      <c r="H156" s="12"/>
      <c r="I156" s="12"/>
      <c r="J156" s="12"/>
      <c r="K156" s="147">
        <f>ROUND(K155*E156/100,0)</f>
        <v>812</v>
      </c>
    </row>
    <row r="157" spans="3:11" x14ac:dyDescent="0.2">
      <c r="C157" s="24" t="s">
        <v>366</v>
      </c>
      <c r="D157" s="24"/>
      <c r="E157" s="24"/>
      <c r="F157" s="24"/>
      <c r="G157" s="24"/>
      <c r="H157" s="24"/>
      <c r="I157" s="24"/>
      <c r="J157" s="24"/>
      <c r="K157" s="174">
        <f>K156+K155</f>
        <v>4504</v>
      </c>
    </row>
    <row r="159" spans="3:11" x14ac:dyDescent="0.2">
      <c r="C159" s="146" t="s">
        <v>367</v>
      </c>
      <c r="D159" s="146"/>
      <c r="E159" s="146"/>
      <c r="F159" s="146"/>
      <c r="G159" s="146"/>
      <c r="H159" s="146"/>
      <c r="I159" s="146"/>
      <c r="J159" s="146"/>
      <c r="K159" s="146"/>
    </row>
    <row r="160" spans="3:11" hidden="1" x14ac:dyDescent="0.2">
      <c r="C160" s="176" t="s">
        <v>368</v>
      </c>
      <c r="D160" s="12"/>
      <c r="E160" s="12"/>
      <c r="F160" s="12"/>
      <c r="G160" s="12"/>
      <c r="H160" s="12"/>
      <c r="I160" s="147">
        <f>SUM(GN47:GN99)+SUM(IA47:IA99)+SUM(IB47:IB99)</f>
        <v>469</v>
      </c>
      <c r="J160" s="12"/>
      <c r="K160" s="147">
        <f>Source!DH43+SUM(DB47:DB99)+SUM(DC47:DC99)</f>
        <v>3692</v>
      </c>
    </row>
    <row r="161" spans="1:255" hidden="1" x14ac:dyDescent="0.2">
      <c r="C161" s="148" t="s">
        <v>324</v>
      </c>
      <c r="D161" s="146"/>
      <c r="E161" s="146"/>
      <c r="F161" s="146"/>
      <c r="G161" s="146"/>
      <c r="H161" s="146"/>
      <c r="I161" s="146"/>
      <c r="J161" s="146"/>
      <c r="K161" s="146"/>
    </row>
    <row r="162" spans="1:255" hidden="1" x14ac:dyDescent="0.2">
      <c r="C162" s="173" t="s">
        <v>369</v>
      </c>
      <c r="D162" s="12"/>
      <c r="E162" s="12"/>
      <c r="F162" s="12"/>
      <c r="G162" s="12"/>
      <c r="H162" s="12"/>
      <c r="I162" s="147">
        <f>SUM(GO47:GO99)</f>
        <v>0</v>
      </c>
      <c r="J162" s="12"/>
      <c r="K162" s="147">
        <f>Source!EG43</f>
        <v>0</v>
      </c>
    </row>
    <row r="163" spans="1:255" hidden="1" x14ac:dyDescent="0.2">
      <c r="C163" s="173" t="s">
        <v>370</v>
      </c>
      <c r="D163" s="12"/>
      <c r="E163" s="12"/>
      <c r="F163" s="12"/>
      <c r="G163" s="12"/>
      <c r="H163" s="12"/>
      <c r="I163" s="147">
        <f>SUM(GP47:GP99)</f>
        <v>469</v>
      </c>
      <c r="J163" s="12"/>
      <c r="K163" s="147">
        <f>Source!EN43</f>
        <v>3692</v>
      </c>
    </row>
    <row r="164" spans="1:255" x14ac:dyDescent="0.2">
      <c r="C164" s="176" t="s">
        <v>371</v>
      </c>
      <c r="D164" s="12"/>
      <c r="E164" s="12"/>
      <c r="F164" s="12"/>
      <c r="G164" s="12"/>
      <c r="H164" s="177">
        <f>Source!DM43</f>
        <v>6.5289120000000009</v>
      </c>
      <c r="I164" s="12"/>
      <c r="J164" s="12"/>
      <c r="K164" s="12"/>
    </row>
    <row r="165" spans="1:255" x14ac:dyDescent="0.2">
      <c r="C165" s="176" t="s">
        <v>130</v>
      </c>
      <c r="D165" s="12"/>
      <c r="E165" s="12"/>
      <c r="F165" s="12"/>
      <c r="G165" s="12"/>
      <c r="H165" s="177">
        <f>Source!DN43</f>
        <v>5.9808E-2</v>
      </c>
      <c r="I165" s="12"/>
      <c r="J165" s="12"/>
      <c r="K165" s="12"/>
    </row>
    <row r="166" spans="1:255" hidden="1" outlineLevel="1" x14ac:dyDescent="0.2"/>
    <row r="167" spans="1:255" hidden="1" outlineLevel="1" x14ac:dyDescent="0.2"/>
    <row r="168" spans="1:255" hidden="1" outlineLevel="1" x14ac:dyDescent="0.2">
      <c r="A168" s="178" t="s">
        <v>372</v>
      </c>
      <c r="B168" s="178"/>
      <c r="C168" s="274"/>
      <c r="D168" s="274"/>
      <c r="E168" s="274"/>
      <c r="F168" s="274"/>
      <c r="G168" s="179"/>
      <c r="H168" s="179"/>
      <c r="I168" s="274"/>
      <c r="J168" s="274"/>
      <c r="BY168" s="180">
        <f>C168</f>
        <v>0</v>
      </c>
      <c r="BZ168" s="180">
        <f>I168</f>
        <v>0</v>
      </c>
      <c r="IU168" s="22"/>
    </row>
    <row r="169" spans="1:255" s="182" customFormat="1" ht="11.25" hidden="1" outlineLevel="1" x14ac:dyDescent="0.2">
      <c r="A169" s="181"/>
      <c r="B169" s="181"/>
      <c r="C169" s="275" t="s">
        <v>373</v>
      </c>
      <c r="D169" s="275"/>
      <c r="E169" s="275"/>
      <c r="F169" s="275"/>
      <c r="G169" s="275"/>
      <c r="H169" s="275"/>
      <c r="I169" s="275" t="s">
        <v>374</v>
      </c>
      <c r="J169" s="275"/>
    </row>
    <row r="170" spans="1:255" hidden="1" outlineLevel="1" x14ac:dyDescent="0.2">
      <c r="A170" s="17"/>
      <c r="B170" s="17"/>
      <c r="C170" s="17"/>
      <c r="D170" s="17"/>
      <c r="E170" s="17"/>
      <c r="F170" s="17"/>
      <c r="G170" s="10" t="s">
        <v>375</v>
      </c>
      <c r="H170" s="17"/>
      <c r="I170" s="17"/>
      <c r="J170" s="17"/>
    </row>
    <row r="171" spans="1:255" hidden="1" outlineLevel="1" x14ac:dyDescent="0.2">
      <c r="A171" s="178" t="s">
        <v>376</v>
      </c>
      <c r="B171" s="178"/>
      <c r="C171" s="274"/>
      <c r="D171" s="274"/>
      <c r="E171" s="274"/>
      <c r="F171" s="274"/>
      <c r="G171" s="179"/>
      <c r="H171" s="179"/>
      <c r="I171" s="274"/>
      <c r="J171" s="274"/>
      <c r="BY171" s="180">
        <f>C171</f>
        <v>0</v>
      </c>
      <c r="BZ171" s="180">
        <f>I171</f>
        <v>0</v>
      </c>
      <c r="IU171" s="22"/>
    </row>
    <row r="172" spans="1:255" s="182" customFormat="1" ht="11.25" hidden="1" outlineLevel="1" x14ac:dyDescent="0.2">
      <c r="A172" s="181"/>
      <c r="B172" s="181"/>
      <c r="C172" s="275" t="s">
        <v>373</v>
      </c>
      <c r="D172" s="275"/>
      <c r="E172" s="275"/>
      <c r="F172" s="275"/>
      <c r="G172" s="275"/>
      <c r="H172" s="275"/>
      <c r="I172" s="275" t="s">
        <v>374</v>
      </c>
      <c r="J172" s="275"/>
    </row>
    <row r="173" spans="1:255" hidden="1" outlineLevel="1" x14ac:dyDescent="0.2">
      <c r="A173" s="17"/>
      <c r="B173" s="17"/>
      <c r="C173" s="17"/>
      <c r="D173" s="17"/>
      <c r="E173" s="17"/>
      <c r="F173" s="17"/>
      <c r="G173" s="10" t="s">
        <v>375</v>
      </c>
      <c r="H173" s="17"/>
      <c r="I173" s="17"/>
      <c r="J173" s="17"/>
    </row>
    <row r="174" spans="1:255" collapsed="1" x14ac:dyDescent="0.2"/>
    <row r="175" spans="1:255" outlineLevel="1" x14ac:dyDescent="0.2"/>
    <row r="176" spans="1:255" outlineLevel="1" x14ac:dyDescent="0.2"/>
    <row r="177" spans="1:255" outlineLevel="1" x14ac:dyDescent="0.2">
      <c r="A177" s="178" t="s">
        <v>377</v>
      </c>
      <c r="B177" s="178"/>
      <c r="C177" s="274" t="s">
        <v>378</v>
      </c>
      <c r="D177" s="274"/>
      <c r="E177" s="274"/>
      <c r="F177" s="274"/>
      <c r="G177" s="179"/>
      <c r="H177" s="179"/>
      <c r="I177" s="274" t="s">
        <v>379</v>
      </c>
      <c r="J177" s="274"/>
      <c r="K177" s="30">
        <v>46119</v>
      </c>
      <c r="BY177" s="180" t="str">
        <f>C177</f>
        <v>Главный инженер-сметчик СРС ООО "ОДСК-Инжиниринг"</v>
      </c>
      <c r="BZ177" s="180" t="str">
        <f>I177</f>
        <v>Полшведкина А.Н.</v>
      </c>
      <c r="IU177" s="22"/>
    </row>
    <row r="178" spans="1:255" s="182" customFormat="1" ht="11.25" outlineLevel="1" x14ac:dyDescent="0.2">
      <c r="A178" s="181"/>
      <c r="B178" s="181"/>
      <c r="C178" s="275" t="s">
        <v>373</v>
      </c>
      <c r="D178" s="275"/>
      <c r="E178" s="275"/>
      <c r="F178" s="275"/>
      <c r="G178" s="275"/>
      <c r="H178" s="275"/>
      <c r="I178" s="275" t="s">
        <v>374</v>
      </c>
      <c r="J178" s="275"/>
    </row>
    <row r="179" spans="1:255" outlineLevel="1" x14ac:dyDescent="0.2">
      <c r="A179" s="17"/>
      <c r="B179" s="17"/>
      <c r="C179" s="17"/>
      <c r="D179" s="17"/>
      <c r="E179" s="17"/>
      <c r="F179" s="17"/>
      <c r="G179" s="10" t="s">
        <v>375</v>
      </c>
      <c r="H179" s="17"/>
      <c r="I179" s="17"/>
      <c r="J179" s="17"/>
    </row>
    <row r="181" spans="1:255" x14ac:dyDescent="0.2">
      <c r="A181" s="30"/>
      <c r="B181" s="30"/>
    </row>
  </sheetData>
  <mergeCells count="86">
    <mergeCell ref="C177:F177"/>
    <mergeCell ref="I177:J177"/>
    <mergeCell ref="C178:H178"/>
    <mergeCell ref="I178:J178"/>
    <mergeCell ref="C171:F171"/>
    <mergeCell ref="I171:J171"/>
    <mergeCell ref="C172:H172"/>
    <mergeCell ref="I172:J172"/>
    <mergeCell ref="H99:I99"/>
    <mergeCell ref="J99:K99"/>
    <mergeCell ref="C168:F168"/>
    <mergeCell ref="I168:J168"/>
    <mergeCell ref="C169:H169"/>
    <mergeCell ref="I169:J169"/>
    <mergeCell ref="H91:I91"/>
    <mergeCell ref="J91:K91"/>
    <mergeCell ref="H92:I92"/>
    <mergeCell ref="J92:K92"/>
    <mergeCell ref="H98:I98"/>
    <mergeCell ref="J98:K98"/>
    <mergeCell ref="H82:I82"/>
    <mergeCell ref="J82:K82"/>
    <mergeCell ref="H83:I83"/>
    <mergeCell ref="J83:K83"/>
    <mergeCell ref="H84:I84"/>
    <mergeCell ref="J84:K84"/>
    <mergeCell ref="H60:I60"/>
    <mergeCell ref="J60:K60"/>
    <mergeCell ref="H68:I68"/>
    <mergeCell ref="J68:K68"/>
    <mergeCell ref="H69:I69"/>
    <mergeCell ref="J69:K69"/>
    <mergeCell ref="H52:I52"/>
    <mergeCell ref="J52:K52"/>
    <mergeCell ref="H53:I53"/>
    <mergeCell ref="J53:K53"/>
    <mergeCell ref="H59:I59"/>
    <mergeCell ref="J59:K59"/>
    <mergeCell ref="K42:K45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C11:G11"/>
    <mergeCell ref="J11:K11"/>
    <mergeCell ref="C12:G12"/>
    <mergeCell ref="J12:K12"/>
    <mergeCell ref="C13:G13"/>
    <mergeCell ref="J13:K13"/>
    <mergeCell ref="C8:G8"/>
    <mergeCell ref="J8:K8"/>
    <mergeCell ref="C9:G9"/>
    <mergeCell ref="J9:K9"/>
    <mergeCell ref="C10:G10"/>
    <mergeCell ref="J10:K10"/>
    <mergeCell ref="C7:G7"/>
    <mergeCell ref="J7:K7"/>
    <mergeCell ref="H2:K2"/>
    <mergeCell ref="H3:K3"/>
    <mergeCell ref="H4:K4"/>
    <mergeCell ref="J5:K5"/>
    <mergeCell ref="J6:K6"/>
  </mergeCells>
  <printOptions horizontalCentered="1"/>
  <pageMargins left="0.39370078740157483" right="0.39370078740157483" top="0.78740157480314965" bottom="0.39370078740157483" header="0" footer="0"/>
  <pageSetup paperSize="9" scale="90" orientation="landscape" r:id="rId1"/>
  <headerFooter>
    <oddHeader>&amp;CСтраница &amp;P из &amp;N</oddHead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U100"/>
  <sheetViews>
    <sheetView workbookViewId="0"/>
  </sheetViews>
  <sheetFormatPr defaultRowHeight="12.75" x14ac:dyDescent="0.2"/>
  <sheetData>
    <row r="1" spans="1:255" x14ac:dyDescent="0.2">
      <c r="B1" t="s">
        <v>239</v>
      </c>
    </row>
    <row r="3" spans="1:255" x14ac:dyDescent="0.2">
      <c r="A3">
        <v>3</v>
      </c>
      <c r="B3" t="s">
        <v>240</v>
      </c>
    </row>
    <row r="4" spans="1:255" x14ac:dyDescent="0.2">
      <c r="A4">
        <v>2</v>
      </c>
      <c r="B4" t="s">
        <v>241</v>
      </c>
    </row>
    <row r="5" spans="1:255" x14ac:dyDescent="0.2">
      <c r="A5">
        <v>0</v>
      </c>
      <c r="B5" t="s">
        <v>242</v>
      </c>
    </row>
    <row r="6" spans="1:255" x14ac:dyDescent="0.2">
      <c r="A6">
        <v>2</v>
      </c>
      <c r="B6" t="s">
        <v>243</v>
      </c>
    </row>
    <row r="7" spans="1:255" x14ac:dyDescent="0.2">
      <c r="A7">
        <v>0</v>
      </c>
      <c r="B7" t="s">
        <v>244</v>
      </c>
    </row>
    <row r="8" spans="1:255" x14ac:dyDescent="0.2">
      <c r="A8">
        <v>2</v>
      </c>
      <c r="B8" t="s">
        <v>245</v>
      </c>
    </row>
    <row r="9" spans="1:255" x14ac:dyDescent="0.2">
      <c r="A9">
        <v>0</v>
      </c>
      <c r="B9" t="s">
        <v>246</v>
      </c>
    </row>
    <row r="13" spans="1:255" x14ac:dyDescent="0.2">
      <c r="A13">
        <v>3</v>
      </c>
      <c r="B13" t="s">
        <v>302</v>
      </c>
      <c r="D13" t="s">
        <v>303</v>
      </c>
      <c r="F13" t="s">
        <v>304</v>
      </c>
    </row>
    <row r="14" spans="1:255" x14ac:dyDescent="0.2">
      <c r="A14">
        <v>513</v>
      </c>
      <c r="B14" t="s">
        <v>322</v>
      </c>
      <c r="D14" t="s">
        <v>303</v>
      </c>
      <c r="F14" t="s">
        <v>304</v>
      </c>
      <c r="AY14">
        <f>SUM('1.Лок.смета.и.Акт'!AS47:'1.Лок.смета.и.Акт'!AS99)</f>
        <v>0</v>
      </c>
      <c r="AZ14">
        <f>SUM('1.Лок.смета.и.Акт'!AT47:'1.Лок.смета.и.Акт'!AT99)</f>
        <v>0</v>
      </c>
      <c r="BA14">
        <f>SUM('1.Лок.смета.и.Акт'!AU47:'1.Лок.смета.и.Акт'!AU99)</f>
        <v>0</v>
      </c>
      <c r="BB14">
        <f>SUM('1.Лок.смета.и.Акт'!AV47:'1.Лок.смета.и.Акт'!AV99)</f>
        <v>0</v>
      </c>
      <c r="BC14">
        <f>SUM('1.Лок.смета.и.Акт'!AW47:'1.Лок.смета.и.Акт'!AW99)</f>
        <v>0</v>
      </c>
      <c r="BD14">
        <f>SUM('1.Лок.смета.и.Акт'!AX47:'1.Лок.смета.и.Акт'!AX99)</f>
        <v>0</v>
      </c>
      <c r="CW14">
        <f>Source!DM43</f>
        <v>6.5289120000000009</v>
      </c>
      <c r="CX14">
        <f>Source!DN43</f>
        <v>5.9808E-2</v>
      </c>
      <c r="CY14">
        <f>Source!DG43</f>
        <v>3692</v>
      </c>
      <c r="CZ14">
        <f>Source!DK43</f>
        <v>0</v>
      </c>
      <c r="DA14">
        <f>Source!DI43</f>
        <v>0</v>
      </c>
      <c r="DB14">
        <f>Source!DJ43</f>
        <v>0</v>
      </c>
      <c r="DC14">
        <f>Source!DH43</f>
        <v>3692</v>
      </c>
      <c r="DD14">
        <f>Source!EG43</f>
        <v>0</v>
      </c>
      <c r="DE14">
        <f>Source!EN43</f>
        <v>3692</v>
      </c>
      <c r="DF14">
        <f>Source!EO43</f>
        <v>3692</v>
      </c>
      <c r="DG14">
        <f>Source!EP43</f>
        <v>0</v>
      </c>
      <c r="DH14">
        <f>Source!EQ43</f>
        <v>3692</v>
      </c>
      <c r="DI14">
        <f>Source!EH43</f>
        <v>0</v>
      </c>
      <c r="DJ14">
        <f>Source!EI43</f>
        <v>0</v>
      </c>
      <c r="DK14">
        <f>Source!ER43</f>
        <v>0</v>
      </c>
      <c r="DL14">
        <f>Source!DL43</f>
        <v>0</v>
      </c>
      <c r="DM14">
        <f>Source!DO43</f>
        <v>0</v>
      </c>
      <c r="DN14">
        <f>Source!DP43</f>
        <v>0</v>
      </c>
      <c r="DO14">
        <f>Source!DQ43</f>
        <v>0</v>
      </c>
      <c r="DP14">
        <f>Source!EJ43</f>
        <v>3692</v>
      </c>
      <c r="DQ14">
        <f>Source!EK43</f>
        <v>3692</v>
      </c>
      <c r="DR14">
        <f>Source!EL43</f>
        <v>0</v>
      </c>
      <c r="DS14">
        <f>Source!EH43</f>
        <v>0</v>
      </c>
      <c r="DT14">
        <f>Source!EM43</f>
        <v>0</v>
      </c>
      <c r="DU14">
        <f>Source!EK43+Source!EL43</f>
        <v>3692</v>
      </c>
      <c r="DW14">
        <f>Source!ES43</f>
        <v>0</v>
      </c>
      <c r="DX14">
        <f>Source!ET43</f>
        <v>0</v>
      </c>
      <c r="DY14">
        <f>Source!EU43</f>
        <v>0</v>
      </c>
      <c r="DZ14">
        <f>Source!EV43</f>
        <v>0</v>
      </c>
      <c r="ET14">
        <f>Source!DM43</f>
        <v>6.5289120000000009</v>
      </c>
      <c r="EU14">
        <f>Source!DN43</f>
        <v>5.9808E-2</v>
      </c>
      <c r="EV14">
        <f>SUM('1.Лок.смета.и.Акт'!GJ47:'1.Лок.смета.и.Акт'!GJ99)</f>
        <v>469</v>
      </c>
      <c r="EW14">
        <f>SUM('1.Лок.смета.и.Акт'!GK47:'1.Лок.смета.и.Акт'!GK99)</f>
        <v>0</v>
      </c>
      <c r="EX14">
        <f>SUM('1.Лок.смета.и.Акт'!GL47:'1.Лок.смета.и.Акт'!GL99)</f>
        <v>0</v>
      </c>
      <c r="EY14">
        <f>SUM('1.Лок.смета.и.Акт'!GM47:'1.Лок.смета.и.Акт'!GM99)</f>
        <v>0</v>
      </c>
      <c r="EZ14">
        <f>SUM('1.Лок.смета.и.Акт'!GN47:'1.Лок.смета.и.Акт'!GN99)</f>
        <v>469</v>
      </c>
      <c r="FA14">
        <f>SUM('1.Лок.смета.и.Акт'!GO47:'1.Лок.смета.и.Акт'!GO99)</f>
        <v>0</v>
      </c>
      <c r="FB14">
        <f>SUM('1.Лок.смета.и.Акт'!GP47:'1.Лок.смета.и.Акт'!GP99)</f>
        <v>469</v>
      </c>
      <c r="FC14">
        <f>SUM('1.Лок.смета.и.Акт'!GQ47:'1.Лок.смета.и.Акт'!GQ99)</f>
        <v>469</v>
      </c>
      <c r="FD14">
        <f>SUM('1.Лок.смета.и.Акт'!GR47:'1.Лок.смета.и.Акт'!GR99)</f>
        <v>0</v>
      </c>
      <c r="FE14">
        <f>SUM('1.Лок.смета.и.Акт'!GS47:'1.Лок.смета.и.Акт'!GS99)</f>
        <v>469</v>
      </c>
      <c r="FF14">
        <f>SUM('1.Лок.смета.и.Акт'!GT47:'1.Лок.смета.и.Акт'!GT99)</f>
        <v>0</v>
      </c>
      <c r="FG14">
        <f>SUM('1.Лок.смета.и.Акт'!GU47:'1.Лок.смета.и.Акт'!GU99)</f>
        <v>0</v>
      </c>
      <c r="FH14">
        <f>SUM('1.Лок.смета.и.Акт'!GV47:'1.Лок.смета.и.Акт'!GV99)</f>
        <v>0</v>
      </c>
      <c r="FI14">
        <f>SUM('1.Лок.смета.и.Акт'!GW47:'1.Лок.смета.и.Акт'!GW99)</f>
        <v>0</v>
      </c>
      <c r="FJ14">
        <f>SUM('1.Лок.смета.и.Акт'!GX47:'1.Лок.смета.и.Акт'!GX99)</f>
        <v>0</v>
      </c>
      <c r="FK14">
        <f>SUM('1.Лок.смета.и.Акт'!GY47:'1.Лок.смета.и.Акт'!GY99)</f>
        <v>0</v>
      </c>
      <c r="FL14">
        <f>SUM('1.Лок.смета.и.Акт'!GZ47:'1.Лок.смета.и.Акт'!GZ99)</f>
        <v>0</v>
      </c>
      <c r="FM14">
        <f>SUM('1.Лок.смета.и.Акт'!HA47:'1.Лок.смета.и.Акт'!HA99)</f>
        <v>469</v>
      </c>
      <c r="FN14">
        <f>SUM('1.Лок.смета.и.Акт'!HB47:'1.Лок.смета.и.Акт'!HB99)</f>
        <v>469</v>
      </c>
      <c r="FO14">
        <f>SUM('1.Лок.смета.и.Акт'!HC47:'1.Лок.смета.и.Акт'!HC99)</f>
        <v>0</v>
      </c>
      <c r="FP14">
        <f>SUM('1.Лок.смета.и.Акт'!HD47:'1.Лок.смета.и.Акт'!HD99)</f>
        <v>0</v>
      </c>
      <c r="FQ14">
        <f>SUM('1.Лок.смета.и.Акт'!HE47:'1.Лок.смета.и.Акт'!HE99)</f>
        <v>0</v>
      </c>
      <c r="FR14">
        <f>SUM('1.Лок.смета.и.Акт'!HB47:'1.Лок.смета.и.Акт'!HB99)+SUM('1.Лок.смета.и.Акт'!HC47:'1.Лок.смета.и.Акт'!HC99)</f>
        <v>469</v>
      </c>
      <c r="FS14">
        <f>SUM('1.Лок.смета.и.Акт'!HG47:'1.Лок.смета.и.Акт'!HG99)</f>
        <v>0</v>
      </c>
      <c r="FT14">
        <f>SUM('1.Лок.смета.и.Акт'!HH47:'1.Лок.смета.и.Акт'!HH99)</f>
        <v>0</v>
      </c>
      <c r="FU14">
        <f>SUM('1.Лок.смета.и.Акт'!HI47:'1.Лок.смета.и.Акт'!HI99)</f>
        <v>0</v>
      </c>
      <c r="FV14">
        <f>SUM('1.Лок.смета.и.Акт'!HJ47:'1.Лок.смета.и.Акт'!HJ99)</f>
        <v>0</v>
      </c>
      <c r="FW14">
        <f>SUM('1.Лок.смета.и.Акт'!HK47:'1.Лок.смета.и.Акт'!HK99)</f>
        <v>0</v>
      </c>
      <c r="FX14">
        <f>SUMIF('1.Лок.смета.и.Акт'!CV47:'1.Лок.смета.и.Акт'!CV99,1,'1.Лок.смета.и.Акт'!GK47:'1.Лок.смета.и.Акт'!GK99)</f>
        <v>0</v>
      </c>
      <c r="FY14">
        <f>SUMIF('1.Лок.смета.и.Акт'!CV47:'1.Лок.смета.и.Акт'!CV99,2,'1.Лок.смета.и.Акт'!GK47:'1.Лок.смета.и.Акт'!GK99)</f>
        <v>0</v>
      </c>
      <c r="FZ14">
        <f>SUMIF('1.Лок.смета.и.Акт'!CV47:'1.Лок.смета.и.Акт'!CV99,5,'1.Лок.смета.и.Акт'!GK47:'1.Лок.смета.и.Акт'!GK99)</f>
        <v>0</v>
      </c>
      <c r="GA14">
        <f>SUMIF('1.Лок.смета.и.Акт'!CV47:'1.Лок.смета.и.Акт'!CV99,4,'1.Лок.смета.и.Акт'!GK47:'1.Лок.смета.и.Акт'!GK99)</f>
        <v>0</v>
      </c>
      <c r="GB14">
        <f>SUMIF('1.Лок.смета.и.Акт'!CV47:'1.Лок.смета.и.Акт'!CV99,1,'1.Лок.смета.и.Акт'!GL47:'1.Лок.смета.и.Акт'!GL99)</f>
        <v>0</v>
      </c>
      <c r="GC14">
        <f>SUMIF('1.Лок.смета.и.Акт'!CV47:'1.Лок.смета.и.Акт'!CV99,2,'1.Лок.смета.и.Акт'!GL47:'1.Лок.смета.и.Акт'!GL99)</f>
        <v>0</v>
      </c>
      <c r="GD14">
        <f>SUMIF('1.Лок.смета.и.Акт'!CV47:'1.Лок.смета.и.Акт'!CV99,4,'1.Лок.смета.и.Акт'!GL47:'1.Лок.смета.и.Акт'!GL99)</f>
        <v>0</v>
      </c>
      <c r="GE14">
        <f>SUMIF('1.Лок.смета.и.Акт'!CV47:'1.Лок.смета.и.Акт'!CV99,1,'1.Лок.смета.и.Акт'!GQ47:'1.Лок.смета.и.Акт'!GQ99)</f>
        <v>469</v>
      </c>
      <c r="GF14">
        <f>SUMIF('1.Лок.смета.и.Акт'!CV47:'1.Лок.смета.и.Акт'!CV99,2,'1.Лок.смета.и.Акт'!GQ47:'1.Лок.смета.и.Акт'!GQ99)</f>
        <v>0</v>
      </c>
      <c r="GG14">
        <f>SUMIF('1.Лок.смета.и.Акт'!CV47:'1.Лок.смета.и.Акт'!CV99,4,'1.Лок.смета.и.Акт'!GQ47:'1.Лок.смета.и.Акт'!GQ99)</f>
        <v>0</v>
      </c>
      <c r="IB14">
        <f>SUM('1.Лок.смета.и.Акт'!HO47:'1.Лок.смета.и.Акт'!HO99)</f>
        <v>0</v>
      </c>
      <c r="IC14">
        <f>SUM('1.Лок.смета.и.Акт'!HQ47:'1.Лок.смета.и.Акт'!HQ99)</f>
        <v>0</v>
      </c>
      <c r="ID14">
        <f>SUM('1.Лок.смета.и.Акт'!HS47:'1.Лок.смета.и.Акт'!HS99)</f>
        <v>0</v>
      </c>
      <c r="IE14">
        <f>SUM('1.Лок.смета.и.Акт'!HU47:'1.Лок.смета.и.Акт'!HU99)</f>
        <v>0</v>
      </c>
      <c r="IF14">
        <f>SUM('1.Лок.смета.и.Акт'!HY47:'1.Лок.смета.и.Акт'!HY99)</f>
        <v>0</v>
      </c>
      <c r="IG14">
        <f>SUM('1.Лок.смета.и.Акт'!HZ47:'1.Лок.смета.и.Акт'!HZ99)</f>
        <v>0</v>
      </c>
      <c r="IH14">
        <f>SUM('1.Лок.смета.и.Акт'!HL47:'1.Лок.смета.и.Акт'!HL99)</f>
        <v>469</v>
      </c>
      <c r="II14">
        <f>SUM('1.Лок.смета.и.Акт'!HN47:'1.Лок.смета.и.Акт'!HN99)</f>
        <v>469</v>
      </c>
      <c r="IJ14">
        <f>SUM('1.Лок.смета.и.Акт'!HP47:'1.Лок.смета.и.Акт'!HP99)</f>
        <v>0</v>
      </c>
      <c r="IK14">
        <f>SUM('1.Лок.смета.и.Акт'!HR47:'1.Лок.смета.и.Акт'!HR99)</f>
        <v>0</v>
      </c>
      <c r="IL14">
        <f>SUM('1.Лок.смета.и.Акт'!HT47:'1.Лок.смета.и.Акт'!HT99)</f>
        <v>0</v>
      </c>
      <c r="IM14">
        <f>SUM('1.Лок.смета.и.Акт'!HW47:'1.Лок.смета.и.Акт'!HW99)</f>
        <v>0</v>
      </c>
      <c r="IN14">
        <f>SUMIF('1.Лок.смета.и.Акт'!CV47:'1.Лок.смета.и.Акт'!CV99,1,'1.Лок.смета.и.Акт'!GY47:'1.Лок.смета.и.Акт'!GY99)</f>
        <v>0</v>
      </c>
      <c r="IO14">
        <f>SUMIF('1.Лок.смета.и.Акт'!CV47:'1.Лок.смета.и.Акт'!CV99,2,'1.Лок.смета.и.Акт'!GY47:'1.Лок.смета.и.Акт'!GY99)</f>
        <v>0</v>
      </c>
      <c r="IP14">
        <f>SUMIF('1.Лок.смета.и.Акт'!CV47:'1.Лок.смета.и.Акт'!CV99,5,'1.Лок.смета.и.Акт'!GY47:'1.Лок.смета.и.Акт'!GY99)</f>
        <v>0</v>
      </c>
      <c r="IQ14">
        <f>SUMIF('1.Лок.смета.и.Акт'!CV47:'1.Лок.смета.и.Акт'!CV99,4,'1.Лок.смета.и.Акт'!GY47:'1.Лок.смета.и.Акт'!GY99)</f>
        <v>0</v>
      </c>
      <c r="IR14">
        <f>SUMIF('1.Лок.смета.и.Акт'!CV47:'1.Лок.смета.и.Акт'!CV99,1,'1.Лок.смета.и.Акт'!GZ47:'1.Лок.смета.и.Акт'!GZ99)</f>
        <v>0</v>
      </c>
      <c r="IS14">
        <f>SUMIF('1.Лок.смета.и.Акт'!CV47:'1.Лок.смета.и.Акт'!CV99,2,'1.Лок.смета.и.Акт'!GZ47:'1.Лок.смета.и.Акт'!GZ99)</f>
        <v>0</v>
      </c>
      <c r="IT14">
        <f>SUMIF('1.Лок.смета.и.Акт'!CV47:'1.Лок.смета.и.Акт'!CV99,5,'1.Лок.смета.и.Акт'!GZ47:'1.Лок.смета.и.Акт'!GZ99)</f>
        <v>0</v>
      </c>
      <c r="IU14">
        <f>SUMIF('1.Лок.смета.и.Акт'!CV47:'1.Лок.смета.и.Акт'!CV99,4,'1.Лок.смета.и.Акт'!GZ47:'1.Лок.смета.и.Акт'!GZ99)</f>
        <v>0</v>
      </c>
    </row>
    <row r="15" spans="1:255" x14ac:dyDescent="0.2">
      <c r="A15">
        <v>999</v>
      </c>
      <c r="B15" t="s">
        <v>380</v>
      </c>
    </row>
    <row r="100" spans="57:68" x14ac:dyDescent="0.2">
      <c r="BE100">
        <f>SUMIF('1.Лок.смета.и.Акт'!CV47:'1.Лок.смета.и.Акт'!CV99,1,'1.Лок.смета.и.Акт'!AV47:'1.Лок.смета.и.Акт'!AV99)</f>
        <v>0</v>
      </c>
      <c r="BF100">
        <f>SUMIF('1.Лок.смета.и.Акт'!CV47:'1.Лок.смета.и.Акт'!CV99,2,'1.Лок.смета.и.Акт'!AV47:'1.Лок.смета.и.Акт'!AV99)</f>
        <v>0</v>
      </c>
      <c r="BG100">
        <f>SUMIF('1.Лок.смета.и.Акт'!CV47:'1.Лок.смета.и.Акт'!CV99,5,'1.Лок.смета.и.Акт'!AV47:'1.Лок.смета.и.Акт'!AV99)</f>
        <v>0</v>
      </c>
      <c r="BH100">
        <f>SUMIF('1.Лок.смета.и.Акт'!CV47:'1.Лок.смета.и.Акт'!CV99,4,'1.Лок.смета.и.Акт'!AV47:'1.Лок.смета.и.Акт'!AV99)</f>
        <v>0</v>
      </c>
      <c r="BI100">
        <f>SUMIF('1.Лок.смета.и.Акт'!CV47:'1.Лок.смета.и.Акт'!CV99,1,'1.Лок.смета.и.Акт'!AW47:'1.Лок.смета.и.Акт'!AW99)</f>
        <v>0</v>
      </c>
      <c r="BJ100">
        <f>SUMIF('1.Лок.смета.и.Акт'!CV47:'1.Лок.смета.и.Акт'!CV99,2,'1.Лок.смета.и.Акт'!AW47:'1.Лок.смета.и.Акт'!AW99)</f>
        <v>0</v>
      </c>
      <c r="BK100">
        <f>SUMIF('1.Лок.смета.и.Акт'!CV47:'1.Лок.смета.и.Акт'!CV99,5,'1.Лок.смета.и.Акт'!AW47:'1.Лок.смета.и.Акт'!AW99)</f>
        <v>0</v>
      </c>
      <c r="BL100">
        <f>SUMIF('1.Лок.смета.и.Акт'!CV47:'1.Лок.смета.и.Акт'!CV99,4,'1.Лок.смета.и.Акт'!AW47:'1.Лок.смета.и.Акт'!AW99)</f>
        <v>0</v>
      </c>
      <c r="BM100">
        <f>SUMIF('1.Лок.смета.и.Акт'!CV47:'1.Лок.смета.и.Акт'!CV99,1,'1.Лок.смета.и.Акт'!AX47:'1.Лок.смета.и.Акт'!AX99)</f>
        <v>0</v>
      </c>
      <c r="BN100">
        <f>SUMIF('1.Лок.смета.и.Акт'!CV47:'1.Лок.смета.и.Акт'!CV99,2,'1.Лок.смета.и.Акт'!AX47:'1.Лок.смета.и.Акт'!AX99)</f>
        <v>0</v>
      </c>
      <c r="BO100">
        <f>SUMIF('1.Лок.смета.и.Акт'!CV47:'1.Лок.смета.и.Акт'!CV99,5,'1.Лок.смета.и.Акт'!AX47:'1.Лок.смета.и.Акт'!AX99)</f>
        <v>0</v>
      </c>
      <c r="BP100">
        <f>SUMIF('1.Лок.смета.и.Акт'!CV47:'1.Лок.смета.и.Акт'!CV99,4,'1.Лок.смета.и.Акт'!AX47:'1.Лок.смета.и.Акт'!AX99)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135"/>
  <sheetViews>
    <sheetView workbookViewId="0">
      <selection activeCell="A131" sqref="A131:AN131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65519</v>
      </c>
      <c r="M1">
        <v>66419234</v>
      </c>
      <c r="N1">
        <v>11</v>
      </c>
      <c r="O1">
        <v>15</v>
      </c>
      <c r="P1">
        <v>0</v>
      </c>
      <c r="Q1">
        <v>0</v>
      </c>
      <c r="IF1">
        <v>-1</v>
      </c>
    </row>
    <row r="2" spans="1:246" x14ac:dyDescent="0.2">
      <c r="IF2">
        <v>-1</v>
      </c>
      <c r="IK2" s="141">
        <f>'2.Материалы'!G24</f>
        <v>0</v>
      </c>
      <c r="IL2" t="s">
        <v>409</v>
      </c>
    </row>
    <row r="3" spans="1:246" x14ac:dyDescent="0.2">
      <c r="IF3">
        <v>-1</v>
      </c>
    </row>
    <row r="4" spans="1:246" x14ac:dyDescent="0.2">
      <c r="IF4">
        <v>-1</v>
      </c>
    </row>
    <row r="5" spans="1:246" x14ac:dyDescent="0.2">
      <c r="IF5">
        <v>-1</v>
      </c>
      <c r="IK5">
        <v>4</v>
      </c>
      <c r="IL5" t="s">
        <v>247</v>
      </c>
    </row>
    <row r="6" spans="1:246" x14ac:dyDescent="0.2">
      <c r="IF6">
        <v>-1</v>
      </c>
      <c r="IK6">
        <v>50</v>
      </c>
      <c r="IL6" t="s">
        <v>236</v>
      </c>
    </row>
    <row r="7" spans="1:246" x14ac:dyDescent="0.2">
      <c r="IF7">
        <v>-1</v>
      </c>
      <c r="IK7">
        <v>2</v>
      </c>
      <c r="IL7" t="s">
        <v>381</v>
      </c>
    </row>
    <row r="8" spans="1:246" x14ac:dyDescent="0.2">
      <c r="IF8">
        <v>-1</v>
      </c>
      <c r="IK8">
        <f>IF((Source!AR43&lt;&gt;'1.Лок.смета.и.Акт'!P100),0,1)</f>
        <v>0</v>
      </c>
      <c r="IL8" t="s">
        <v>323</v>
      </c>
    </row>
    <row r="9" spans="1:246" x14ac:dyDescent="0.2">
      <c r="A9" s="1">
        <v>1</v>
      </c>
      <c r="B9" s="1">
        <v>1</v>
      </c>
      <c r="C9" s="1">
        <v>-1</v>
      </c>
      <c r="D9" s="1"/>
      <c r="E9" s="1"/>
      <c r="F9" s="1" t="s">
        <v>4</v>
      </c>
      <c r="G9" s="1" t="s">
        <v>5</v>
      </c>
      <c r="H9" s="1" t="s">
        <v>3</v>
      </c>
      <c r="I9" s="1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  <c r="O9" s="1" t="s">
        <v>3</v>
      </c>
      <c r="P9" s="1">
        <v>0</v>
      </c>
      <c r="Q9" s="1" t="s">
        <v>3</v>
      </c>
      <c r="R9" s="1" t="s">
        <v>3</v>
      </c>
      <c r="S9" s="1" t="s">
        <v>3</v>
      </c>
      <c r="T9" s="1" t="s">
        <v>3</v>
      </c>
      <c r="U9" s="1" t="s">
        <v>3</v>
      </c>
      <c r="V9" s="1" t="s">
        <v>3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>
        <v>0</v>
      </c>
      <c r="IF9">
        <v>-1</v>
      </c>
      <c r="IK9" s="11" t="s">
        <v>237</v>
      </c>
      <c r="IL9" t="s">
        <v>238</v>
      </c>
    </row>
    <row r="10" spans="1:246" x14ac:dyDescent="0.2">
      <c r="IF10">
        <v>-1</v>
      </c>
      <c r="IK10">
        <v>1</v>
      </c>
      <c r="IL10" t="s">
        <v>233</v>
      </c>
    </row>
    <row r="11" spans="1:246" x14ac:dyDescent="0.2">
      <c r="IF11">
        <v>-1</v>
      </c>
      <c r="IK11" t="s">
        <v>234</v>
      </c>
      <c r="IL11" t="s">
        <v>235</v>
      </c>
    </row>
    <row r="12" spans="1:246" x14ac:dyDescent="0.2">
      <c r="A12" s="1">
        <v>1</v>
      </c>
      <c r="B12" s="1">
        <v>129</v>
      </c>
      <c r="C12" s="1">
        <v>1</v>
      </c>
      <c r="D12" s="1">
        <f>ROW(A73)</f>
        <v>73</v>
      </c>
      <c r="E12" s="1">
        <v>0</v>
      </c>
      <c r="F12" s="1" t="s">
        <v>6</v>
      </c>
      <c r="G12" s="1" t="s">
        <v>6</v>
      </c>
      <c r="H12" s="1" t="s">
        <v>3</v>
      </c>
      <c r="I12" s="1">
        <v>0</v>
      </c>
      <c r="J12" s="1" t="s">
        <v>7</v>
      </c>
      <c r="K12" s="1">
        <v>0</v>
      </c>
      <c r="L12" s="1">
        <v>0</v>
      </c>
      <c r="M12" s="1">
        <v>1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86024200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55" x14ac:dyDescent="0.2">
      <c r="IF17">
        <v>-1</v>
      </c>
    </row>
    <row r="18" spans="1:255" x14ac:dyDescent="0.2">
      <c r="A18" s="3">
        <v>52</v>
      </c>
      <c r="B18" s="3">
        <f t="shared" ref="B18:G18" si="0">B73</f>
        <v>129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ЛС Ремонт лестничных маршей</v>
      </c>
      <c r="G18" s="3" t="str">
        <f t="shared" si="0"/>
        <v>ЛС Ремонт лестничных маршей</v>
      </c>
      <c r="H18" s="3"/>
      <c r="I18" s="3"/>
      <c r="J18" s="3"/>
      <c r="K18" s="3"/>
      <c r="L18" s="3"/>
      <c r="M18" s="3"/>
      <c r="N18" s="3"/>
      <c r="O18" s="3">
        <f t="shared" ref="O18:AT18" si="1">O73</f>
        <v>526</v>
      </c>
      <c r="P18" s="3">
        <f t="shared" si="1"/>
        <v>469</v>
      </c>
      <c r="Q18" s="3">
        <f t="shared" si="1"/>
        <v>2</v>
      </c>
      <c r="R18" s="3">
        <f t="shared" si="1"/>
        <v>1</v>
      </c>
      <c r="S18" s="3">
        <f t="shared" si="1"/>
        <v>55</v>
      </c>
      <c r="T18" s="3">
        <f t="shared" si="1"/>
        <v>0</v>
      </c>
      <c r="U18" s="3">
        <f t="shared" si="1"/>
        <v>6.5289120000000009</v>
      </c>
      <c r="V18" s="3">
        <f t="shared" si="1"/>
        <v>5.9808E-2</v>
      </c>
      <c r="W18" s="3">
        <f t="shared" si="1"/>
        <v>0</v>
      </c>
      <c r="X18" s="3">
        <f t="shared" si="1"/>
        <v>54</v>
      </c>
      <c r="Y18" s="3">
        <f t="shared" si="1"/>
        <v>28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608</v>
      </c>
      <c r="AS18" s="3">
        <f t="shared" si="1"/>
        <v>608</v>
      </c>
      <c r="AT18" s="3">
        <f t="shared" si="1"/>
        <v>0</v>
      </c>
      <c r="AU18" s="3">
        <f t="shared" ref="AU18:BZ18" si="2">AU73</f>
        <v>0</v>
      </c>
      <c r="AV18" s="3">
        <f t="shared" si="2"/>
        <v>469</v>
      </c>
      <c r="AW18" s="3">
        <f t="shared" si="2"/>
        <v>469</v>
      </c>
      <c r="AX18" s="3">
        <f t="shared" si="2"/>
        <v>0</v>
      </c>
      <c r="AY18" s="3">
        <f t="shared" si="2"/>
        <v>469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CA73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DG73</f>
        <v>3692</v>
      </c>
      <c r="DH18" s="4">
        <f t="shared" si="4"/>
        <v>3692</v>
      </c>
      <c r="DI18" s="4">
        <f t="shared" si="4"/>
        <v>0</v>
      </c>
      <c r="DJ18" s="4">
        <f t="shared" si="4"/>
        <v>0</v>
      </c>
      <c r="DK18" s="4">
        <f t="shared" si="4"/>
        <v>0</v>
      </c>
      <c r="DL18" s="4">
        <f t="shared" si="4"/>
        <v>0</v>
      </c>
      <c r="DM18" s="4">
        <f t="shared" si="4"/>
        <v>6.5289120000000009</v>
      </c>
      <c r="DN18" s="4">
        <f t="shared" si="4"/>
        <v>5.9808E-2</v>
      </c>
      <c r="DO18" s="4">
        <f t="shared" si="4"/>
        <v>0</v>
      </c>
      <c r="DP18" s="4">
        <f t="shared" si="4"/>
        <v>0</v>
      </c>
      <c r="DQ18" s="4">
        <f t="shared" si="4"/>
        <v>0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3692</v>
      </c>
      <c r="EK18" s="4">
        <f t="shared" si="4"/>
        <v>3692</v>
      </c>
      <c r="EL18" s="4">
        <f t="shared" si="4"/>
        <v>0</v>
      </c>
      <c r="EM18" s="4">
        <f t="shared" ref="EM18:FR18" si="5">EM73</f>
        <v>0</v>
      </c>
      <c r="EN18" s="4">
        <f t="shared" si="5"/>
        <v>3692</v>
      </c>
      <c r="EO18" s="4">
        <f t="shared" si="5"/>
        <v>3692</v>
      </c>
      <c r="EP18" s="4">
        <f t="shared" si="5"/>
        <v>0</v>
      </c>
      <c r="EQ18" s="4">
        <f t="shared" si="5"/>
        <v>3692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FS73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  <c r="IF18">
        <v>-1</v>
      </c>
    </row>
    <row r="19" spans="1:255" x14ac:dyDescent="0.2">
      <c r="IF19">
        <v>-1</v>
      </c>
    </row>
    <row r="20" spans="1:255" x14ac:dyDescent="0.2">
      <c r="A20" s="1">
        <v>3</v>
      </c>
      <c r="B20" s="1">
        <v>1</v>
      </c>
      <c r="C20" s="1"/>
      <c r="D20" s="1">
        <f>ROW(A43)</f>
        <v>43</v>
      </c>
      <c r="E20" s="1"/>
      <c r="F20" s="1" t="s">
        <v>14</v>
      </c>
      <c r="G20" s="1" t="s">
        <v>15</v>
      </c>
      <c r="H20" s="1" t="s">
        <v>3</v>
      </c>
      <c r="I20" s="1">
        <v>0</v>
      </c>
      <c r="J20" s="1" t="s">
        <v>3</v>
      </c>
      <c r="K20" s="1">
        <v>-1</v>
      </c>
      <c r="L20" s="1" t="s">
        <v>14</v>
      </c>
      <c r="M20" s="1" t="s">
        <v>3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  <c r="IF20">
        <v>-1</v>
      </c>
    </row>
    <row r="21" spans="1:255" x14ac:dyDescent="0.2">
      <c r="IF21">
        <v>-1</v>
      </c>
    </row>
    <row r="22" spans="1:255" x14ac:dyDescent="0.2">
      <c r="A22" s="3">
        <v>52</v>
      </c>
      <c r="B22" s="3">
        <f t="shared" ref="B22:G22" si="7">B43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Ремонт лестничных маршей ЛМП 57.11.15-5</v>
      </c>
      <c r="G22" s="3" t="str">
        <f t="shared" si="7"/>
        <v>Ремонт лестничных маршей ЛМП 57.11.15-5 ( на 1 лестничный марш)</v>
      </c>
      <c r="H22" s="3"/>
      <c r="I22" s="3"/>
      <c r="J22" s="3"/>
      <c r="K22" s="3"/>
      <c r="L22" s="3"/>
      <c r="M22" s="3"/>
      <c r="N22" s="3"/>
      <c r="O22" s="3">
        <f t="shared" ref="O22:AT22" si="8">O43</f>
        <v>526</v>
      </c>
      <c r="P22" s="3">
        <f t="shared" si="8"/>
        <v>469</v>
      </c>
      <c r="Q22" s="3">
        <f t="shared" si="8"/>
        <v>2</v>
      </c>
      <c r="R22" s="3">
        <f t="shared" si="8"/>
        <v>1</v>
      </c>
      <c r="S22" s="3">
        <f t="shared" si="8"/>
        <v>55</v>
      </c>
      <c r="T22" s="3">
        <f t="shared" si="8"/>
        <v>0</v>
      </c>
      <c r="U22" s="3">
        <f t="shared" si="8"/>
        <v>6.5289120000000009</v>
      </c>
      <c r="V22" s="3">
        <f t="shared" si="8"/>
        <v>5.9808E-2</v>
      </c>
      <c r="W22" s="3">
        <f t="shared" si="8"/>
        <v>0</v>
      </c>
      <c r="X22" s="3">
        <f t="shared" si="8"/>
        <v>54</v>
      </c>
      <c r="Y22" s="3">
        <f t="shared" si="8"/>
        <v>28</v>
      </c>
      <c r="Z22" s="3">
        <f t="shared" si="8"/>
        <v>0</v>
      </c>
      <c r="AA22" s="3">
        <f t="shared" si="8"/>
        <v>0</v>
      </c>
      <c r="AB22" s="3">
        <f t="shared" si="8"/>
        <v>526</v>
      </c>
      <c r="AC22" s="3">
        <f t="shared" si="8"/>
        <v>469</v>
      </c>
      <c r="AD22" s="3">
        <f t="shared" si="8"/>
        <v>2</v>
      </c>
      <c r="AE22" s="3">
        <f t="shared" si="8"/>
        <v>1</v>
      </c>
      <c r="AF22" s="3">
        <f t="shared" si="8"/>
        <v>55</v>
      </c>
      <c r="AG22" s="3">
        <f t="shared" si="8"/>
        <v>0</v>
      </c>
      <c r="AH22" s="3">
        <f t="shared" si="8"/>
        <v>6.5289120000000009</v>
      </c>
      <c r="AI22" s="3">
        <f t="shared" si="8"/>
        <v>5.9808E-2</v>
      </c>
      <c r="AJ22" s="3">
        <f t="shared" si="8"/>
        <v>0</v>
      </c>
      <c r="AK22" s="3">
        <f t="shared" si="8"/>
        <v>54</v>
      </c>
      <c r="AL22" s="3">
        <f t="shared" si="8"/>
        <v>28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608</v>
      </c>
      <c r="AS22" s="3">
        <f t="shared" si="8"/>
        <v>608</v>
      </c>
      <c r="AT22" s="3">
        <f t="shared" si="8"/>
        <v>0</v>
      </c>
      <c r="AU22" s="3">
        <f t="shared" ref="AU22:BZ22" si="9">AU43</f>
        <v>0</v>
      </c>
      <c r="AV22" s="3">
        <f t="shared" si="9"/>
        <v>469</v>
      </c>
      <c r="AW22" s="3">
        <f t="shared" si="9"/>
        <v>469</v>
      </c>
      <c r="AX22" s="3">
        <f t="shared" si="9"/>
        <v>0</v>
      </c>
      <c r="AY22" s="3">
        <f t="shared" si="9"/>
        <v>469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CA43</f>
        <v>608</v>
      </c>
      <c r="CB22" s="3">
        <f t="shared" si="10"/>
        <v>608</v>
      </c>
      <c r="CC22" s="3">
        <f t="shared" si="10"/>
        <v>0</v>
      </c>
      <c r="CD22" s="3">
        <f t="shared" si="10"/>
        <v>0</v>
      </c>
      <c r="CE22" s="3">
        <f t="shared" si="10"/>
        <v>469</v>
      </c>
      <c r="CF22" s="3">
        <f t="shared" si="10"/>
        <v>469</v>
      </c>
      <c r="CG22" s="3">
        <f t="shared" si="10"/>
        <v>0</v>
      </c>
      <c r="CH22" s="3">
        <f t="shared" si="10"/>
        <v>469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DG43</f>
        <v>3692</v>
      </c>
      <c r="DH22" s="4">
        <f t="shared" si="11"/>
        <v>3692</v>
      </c>
      <c r="DI22" s="4">
        <f t="shared" si="11"/>
        <v>0</v>
      </c>
      <c r="DJ22" s="4">
        <f t="shared" si="11"/>
        <v>0</v>
      </c>
      <c r="DK22" s="4">
        <f t="shared" si="11"/>
        <v>0</v>
      </c>
      <c r="DL22" s="4">
        <f t="shared" si="11"/>
        <v>0</v>
      </c>
      <c r="DM22" s="4">
        <f t="shared" si="11"/>
        <v>6.5289120000000009</v>
      </c>
      <c r="DN22" s="4">
        <f t="shared" si="11"/>
        <v>5.9808E-2</v>
      </c>
      <c r="DO22" s="4">
        <f t="shared" si="11"/>
        <v>0</v>
      </c>
      <c r="DP22" s="4">
        <f t="shared" si="11"/>
        <v>0</v>
      </c>
      <c r="DQ22" s="4">
        <f t="shared" si="11"/>
        <v>0</v>
      </c>
      <c r="DR22" s="4">
        <f t="shared" si="11"/>
        <v>0</v>
      </c>
      <c r="DS22" s="4">
        <f t="shared" si="11"/>
        <v>0</v>
      </c>
      <c r="DT22" s="4">
        <f t="shared" si="11"/>
        <v>3692</v>
      </c>
      <c r="DU22" s="4">
        <f t="shared" si="11"/>
        <v>3692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6.5289120000000009</v>
      </c>
      <c r="EA22" s="4">
        <f t="shared" si="11"/>
        <v>5.9808E-2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3692</v>
      </c>
      <c r="EK22" s="4">
        <f t="shared" si="11"/>
        <v>3692</v>
      </c>
      <c r="EL22" s="4">
        <f t="shared" si="11"/>
        <v>0</v>
      </c>
      <c r="EM22" s="4">
        <f t="shared" ref="EM22:FR22" si="12">EM43</f>
        <v>0</v>
      </c>
      <c r="EN22" s="4">
        <f t="shared" si="12"/>
        <v>3692</v>
      </c>
      <c r="EO22" s="4">
        <f t="shared" si="12"/>
        <v>3692</v>
      </c>
      <c r="EP22" s="4">
        <f t="shared" si="12"/>
        <v>0</v>
      </c>
      <c r="EQ22" s="4">
        <f t="shared" si="12"/>
        <v>3692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FS43</f>
        <v>3692</v>
      </c>
      <c r="FT22" s="4">
        <f t="shared" si="13"/>
        <v>3692</v>
      </c>
      <c r="FU22" s="4">
        <f t="shared" si="13"/>
        <v>0</v>
      </c>
      <c r="FV22" s="4">
        <f t="shared" si="13"/>
        <v>0</v>
      </c>
      <c r="FW22" s="4">
        <f t="shared" si="13"/>
        <v>3692</v>
      </c>
      <c r="FX22" s="4">
        <f t="shared" si="13"/>
        <v>3692</v>
      </c>
      <c r="FY22" s="4">
        <f t="shared" si="13"/>
        <v>0</v>
      </c>
      <c r="FZ22" s="4">
        <f t="shared" si="13"/>
        <v>3692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  <c r="IF22">
        <v>-1</v>
      </c>
    </row>
    <row r="23" spans="1:255" x14ac:dyDescent="0.2">
      <c r="IF23">
        <v>-1</v>
      </c>
    </row>
    <row r="24" spans="1:255" x14ac:dyDescent="0.2">
      <c r="A24" s="2">
        <v>17</v>
      </c>
      <c r="B24" s="2">
        <v>1</v>
      </c>
      <c r="C24" s="2">
        <f>ROW(SmtRes!A1)</f>
        <v>1</v>
      </c>
      <c r="D24" s="2">
        <f>ROW(EtalonRes!A1)</f>
        <v>1</v>
      </c>
      <c r="E24" s="2" t="s">
        <v>16</v>
      </c>
      <c r="F24" s="2" t="s">
        <v>17</v>
      </c>
      <c r="G24" s="2" t="s">
        <v>18</v>
      </c>
      <c r="H24" s="2" t="s">
        <v>19</v>
      </c>
      <c r="I24" s="2">
        <f>'1.Лок.смета.и.Акт'!E47</f>
        <v>8.4000000000000005E-2</v>
      </c>
      <c r="J24" s="2">
        <v>0</v>
      </c>
      <c r="K24" s="2">
        <v>8.4000000000000005E-2</v>
      </c>
      <c r="L24" s="2"/>
      <c r="M24" s="2"/>
      <c r="N24" s="2"/>
      <c r="O24" s="2">
        <f t="shared" ref="O24:O41" si="14">ROUND(CP24,0)</f>
        <v>14</v>
      </c>
      <c r="P24" s="2">
        <f t="shared" ref="P24:P41" si="15">ROUND(CQ24*I24,0)</f>
        <v>0</v>
      </c>
      <c r="Q24" s="2">
        <f t="shared" ref="Q24:Q41" si="16">ROUND(CR24*I24,0)</f>
        <v>0</v>
      </c>
      <c r="R24" s="2">
        <f t="shared" ref="R24:R41" si="17">ROUND(CS24*I24,0)</f>
        <v>0</v>
      </c>
      <c r="S24" s="2">
        <f t="shared" ref="S24:S41" si="18">ROUND(CT24*I24,0)</f>
        <v>14</v>
      </c>
      <c r="T24" s="2">
        <f t="shared" ref="T24:T41" si="19">ROUND(CU24*I24,0)</f>
        <v>0</v>
      </c>
      <c r="U24" s="2">
        <f t="shared" ref="U24:U41" si="20">CV24*I24</f>
        <v>1.7472000000000001</v>
      </c>
      <c r="V24" s="2">
        <f t="shared" ref="V24:V41" si="21">CW24*I24</f>
        <v>0</v>
      </c>
      <c r="W24" s="2">
        <f t="shared" ref="W24:W41" si="22">ROUND(CX24*I24,0)</f>
        <v>0</v>
      </c>
      <c r="X24" s="2">
        <f t="shared" ref="X24:X41" si="23">ROUND(CY24,0)</f>
        <v>13</v>
      </c>
      <c r="Y24" s="2">
        <f t="shared" ref="Y24:Y41" si="24">ROUND(CZ24,0)</f>
        <v>6</v>
      </c>
      <c r="Z24" s="2"/>
      <c r="AA24" s="2">
        <v>91261330</v>
      </c>
      <c r="AB24" s="2">
        <f t="shared" ref="AB24:AB41" si="25">ROUND((AC24+AD24+AF24),2)</f>
        <v>163.69999999999999</v>
      </c>
      <c r="AC24" s="2">
        <f t="shared" ref="AC24:AC37" si="26">ROUND((ES24),2)</f>
        <v>0</v>
      </c>
      <c r="AD24" s="2">
        <f>ROUND((((ET24)-(EU24))+AE24),2)</f>
        <v>0</v>
      </c>
      <c r="AE24" s="2">
        <f>ROUND((EU24),2)</f>
        <v>0</v>
      </c>
      <c r="AF24" s="2">
        <f>ROUND((EV24),2)</f>
        <v>163.69999999999999</v>
      </c>
      <c r="AG24" s="2">
        <f t="shared" ref="AG24:AG41" si="27">ROUND((AP24),2)</f>
        <v>0</v>
      </c>
      <c r="AH24" s="2">
        <f>(EW24)</f>
        <v>20.8</v>
      </c>
      <c r="AI24" s="2">
        <f>(EX24)</f>
        <v>0</v>
      </c>
      <c r="AJ24" s="2">
        <f t="shared" ref="AJ24:AJ41" si="28">(AS24)</f>
        <v>0</v>
      </c>
      <c r="AK24" s="2">
        <v>163.69999999999999</v>
      </c>
      <c r="AL24" s="2">
        <v>0</v>
      </c>
      <c r="AM24" s="2">
        <v>0</v>
      </c>
      <c r="AN24" s="2">
        <v>0</v>
      </c>
      <c r="AO24" s="2">
        <v>163.69999999999999</v>
      </c>
      <c r="AP24" s="2">
        <v>0</v>
      </c>
      <c r="AQ24" s="2">
        <v>20.8</v>
      </c>
      <c r="AR24" s="2">
        <v>0</v>
      </c>
      <c r="AS24" s="2">
        <v>0</v>
      </c>
      <c r="AT24" s="2">
        <v>90</v>
      </c>
      <c r="AU24" s="2">
        <v>46</v>
      </c>
      <c r="AV24" s="2">
        <v>1</v>
      </c>
      <c r="AW24" s="2">
        <v>1</v>
      </c>
      <c r="AX24" s="2"/>
      <c r="AY24" s="2"/>
      <c r="AZ24" s="2">
        <v>1</v>
      </c>
      <c r="BA24" s="2">
        <v>1</v>
      </c>
      <c r="BB24" s="2">
        <v>1</v>
      </c>
      <c r="BC24" s="2">
        <v>1</v>
      </c>
      <c r="BD24" s="2" t="s">
        <v>3</v>
      </c>
      <c r="BE24" s="2" t="s">
        <v>3</v>
      </c>
      <c r="BF24" s="2" t="s">
        <v>3</v>
      </c>
      <c r="BG24" s="2" t="s">
        <v>3</v>
      </c>
      <c r="BH24" s="2">
        <v>0</v>
      </c>
      <c r="BI24" s="2">
        <v>1</v>
      </c>
      <c r="BJ24" s="2" t="s">
        <v>20</v>
      </c>
      <c r="BK24" s="2"/>
      <c r="BL24" s="2"/>
      <c r="BM24" s="2">
        <v>62001</v>
      </c>
      <c r="BN24" s="2">
        <v>0</v>
      </c>
      <c r="BO24" s="2" t="s">
        <v>3</v>
      </c>
      <c r="BP24" s="2">
        <v>0</v>
      </c>
      <c r="BQ24" s="2">
        <v>6</v>
      </c>
      <c r="BR24" s="2">
        <v>0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 t="s">
        <v>3</v>
      </c>
      <c r="BZ24" s="2">
        <v>90</v>
      </c>
      <c r="CA24" s="2">
        <v>46</v>
      </c>
      <c r="CB24" s="2" t="s">
        <v>3</v>
      </c>
      <c r="CC24" s="2"/>
      <c r="CD24" s="2"/>
      <c r="CE24" s="2">
        <v>0</v>
      </c>
      <c r="CF24" s="2">
        <v>0</v>
      </c>
      <c r="CG24" s="2">
        <v>0</v>
      </c>
      <c r="CH24" s="2"/>
      <c r="CI24" s="2"/>
      <c r="CJ24" s="2"/>
      <c r="CK24" s="2"/>
      <c r="CL24" s="2"/>
      <c r="CM24" s="2">
        <v>0</v>
      </c>
      <c r="CN24" s="2" t="s">
        <v>3</v>
      </c>
      <c r="CO24" s="2">
        <v>0</v>
      </c>
      <c r="CP24" s="2">
        <f t="shared" ref="CP24:CP41" si="29">(P24+Q24+S24)</f>
        <v>14</v>
      </c>
      <c r="CQ24" s="2">
        <f t="shared" ref="CQ24:CQ41" si="30">AC24*BC24</f>
        <v>0</v>
      </c>
      <c r="CR24" s="2">
        <f>(((ET24)*BB24-(EU24)*BS24)+AE24*BS24)</f>
        <v>0</v>
      </c>
      <c r="CS24" s="2">
        <f t="shared" ref="CS24:CS41" si="31">AE24*BS24</f>
        <v>0</v>
      </c>
      <c r="CT24" s="2">
        <f t="shared" ref="CT24:CT41" si="32">AF24*BA24</f>
        <v>163.69999999999999</v>
      </c>
      <c r="CU24" s="2">
        <f t="shared" ref="CU24:CU41" si="33">AG24</f>
        <v>0</v>
      </c>
      <c r="CV24" s="2">
        <f t="shared" ref="CV24:CV41" si="34">AH24</f>
        <v>20.8</v>
      </c>
      <c r="CW24" s="2">
        <f t="shared" ref="CW24:CW41" si="35">AI24</f>
        <v>0</v>
      </c>
      <c r="CX24" s="2">
        <f t="shared" ref="CX24:CX41" si="36">AJ24</f>
        <v>0</v>
      </c>
      <c r="CY24" s="2">
        <f t="shared" ref="CY24:CY31" si="37">(((S24+R24)*AT24)/100)</f>
        <v>12.6</v>
      </c>
      <c r="CZ24" s="2">
        <f t="shared" ref="CZ24:CZ31" si="38">(((S24+R24)*AU24)/100)</f>
        <v>6.44</v>
      </c>
      <c r="DA24" s="2"/>
      <c r="DB24" s="2"/>
      <c r="DC24" s="2" t="s">
        <v>3</v>
      </c>
      <c r="DD24" s="2" t="s">
        <v>3</v>
      </c>
      <c r="DE24" s="2" t="s">
        <v>3</v>
      </c>
      <c r="DF24" s="2" t="s">
        <v>3</v>
      </c>
      <c r="DG24" s="2" t="s">
        <v>3</v>
      </c>
      <c r="DH24" s="2" t="s">
        <v>3</v>
      </c>
      <c r="DI24" s="2" t="s">
        <v>3</v>
      </c>
      <c r="DJ24" s="2" t="s">
        <v>3</v>
      </c>
      <c r="DK24" s="2" t="s">
        <v>3</v>
      </c>
      <c r="DL24" s="2" t="s">
        <v>3</v>
      </c>
      <c r="DM24" s="2" t="s">
        <v>3</v>
      </c>
      <c r="DN24" s="2">
        <v>0</v>
      </c>
      <c r="DO24" s="2">
        <v>0</v>
      </c>
      <c r="DP24" s="2">
        <v>1</v>
      </c>
      <c r="DQ24" s="2">
        <v>1</v>
      </c>
      <c r="DR24" s="2"/>
      <c r="DS24" s="2"/>
      <c r="DT24" s="2"/>
      <c r="DU24" s="2">
        <v>1013</v>
      </c>
      <c r="DV24" s="2" t="s">
        <v>19</v>
      </c>
      <c r="DW24" s="2" t="s">
        <v>19</v>
      </c>
      <c r="DX24" s="2">
        <v>1</v>
      </c>
      <c r="DY24" s="2"/>
      <c r="DZ24" s="2" t="s">
        <v>3</v>
      </c>
      <c r="EA24" s="2" t="s">
        <v>3</v>
      </c>
      <c r="EB24" s="2" t="s">
        <v>3</v>
      </c>
      <c r="EC24" s="2" t="s">
        <v>3</v>
      </c>
      <c r="ED24" s="2"/>
      <c r="EE24" s="2">
        <v>59670448</v>
      </c>
      <c r="EF24" s="2">
        <v>6</v>
      </c>
      <c r="EG24" s="2" t="s">
        <v>21</v>
      </c>
      <c r="EH24" s="2">
        <v>96</v>
      </c>
      <c r="EI24" s="2" t="s">
        <v>22</v>
      </c>
      <c r="EJ24" s="2">
        <v>1</v>
      </c>
      <c r="EK24" s="2">
        <v>62001</v>
      </c>
      <c r="EL24" s="2" t="s">
        <v>22</v>
      </c>
      <c r="EM24" s="2" t="s">
        <v>23</v>
      </c>
      <c r="EN24" s="2"/>
      <c r="EO24" s="2" t="s">
        <v>3</v>
      </c>
      <c r="EP24" s="2"/>
      <c r="EQ24" s="2">
        <v>0</v>
      </c>
      <c r="ER24" s="2">
        <v>163.69999999999999</v>
      </c>
      <c r="ES24" s="2">
        <v>0</v>
      </c>
      <c r="ET24" s="2">
        <v>0</v>
      </c>
      <c r="EU24" s="2">
        <v>0</v>
      </c>
      <c r="EV24" s="2">
        <v>163.69999999999999</v>
      </c>
      <c r="EW24" s="2">
        <v>20.8</v>
      </c>
      <c r="EX24" s="2">
        <v>0</v>
      </c>
      <c r="EY24" s="2">
        <v>0</v>
      </c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>
        <v>0</v>
      </c>
      <c r="FR24" s="2">
        <v>0</v>
      </c>
      <c r="FS24" s="2">
        <v>0</v>
      </c>
      <c r="FT24" s="2"/>
      <c r="FU24" s="2"/>
      <c r="FV24" s="2"/>
      <c r="FW24" s="2"/>
      <c r="FX24" s="2">
        <v>90</v>
      </c>
      <c r="FY24" s="2">
        <v>46</v>
      </c>
      <c r="FZ24" s="2"/>
      <c r="GA24" s="2" t="s">
        <v>3</v>
      </c>
      <c r="GB24" s="2"/>
      <c r="GC24" s="2"/>
      <c r="GD24" s="2">
        <v>1</v>
      </c>
      <c r="GE24" s="2"/>
      <c r="GF24" s="2">
        <v>1434634947</v>
      </c>
      <c r="GG24" s="2">
        <v>2</v>
      </c>
      <c r="GH24" s="2">
        <v>1</v>
      </c>
      <c r="GI24" s="2">
        <v>-2</v>
      </c>
      <c r="GJ24" s="2">
        <v>0</v>
      </c>
      <c r="GK24" s="2">
        <v>0</v>
      </c>
      <c r="GL24" s="2">
        <f t="shared" ref="GL24:GL41" si="39">ROUND(IF(AND(BH24=3,BI24=3,FS24&lt;&gt;0),P24,0),0)</f>
        <v>0</v>
      </c>
      <c r="GM24" s="2">
        <f t="shared" ref="GM24:GM41" si="40">ROUND(O24+X24+Y24,0)+GX24</f>
        <v>33</v>
      </c>
      <c r="GN24" s="2">
        <f t="shared" ref="GN24:GN41" si="41">IF(OR(BI24=0,BI24=1),GM24-GX24,0)</f>
        <v>33</v>
      </c>
      <c r="GO24" s="2">
        <f t="shared" ref="GO24:GO41" si="42">IF(BI24=2,GM24-GX24,0)</f>
        <v>0</v>
      </c>
      <c r="GP24" s="2">
        <f t="shared" ref="GP24:GP41" si="43">IF(BI24=4,GM24-GX24,0)</f>
        <v>0</v>
      </c>
      <c r="GQ24" s="2"/>
      <c r="GR24" s="2">
        <v>0</v>
      </c>
      <c r="GS24" s="2">
        <v>3</v>
      </c>
      <c r="GT24" s="2">
        <v>0</v>
      </c>
      <c r="GU24" s="2" t="s">
        <v>3</v>
      </c>
      <c r="GV24" s="2">
        <f t="shared" ref="GV24:GV37" si="44">ROUND((GT24),2)</f>
        <v>0</v>
      </c>
      <c r="GW24" s="2">
        <v>1</v>
      </c>
      <c r="GX24" s="2">
        <f t="shared" ref="GX24:GX41" si="45">ROUND(HC24*I24,0)</f>
        <v>0</v>
      </c>
      <c r="GY24" s="2"/>
      <c r="GZ24" s="2"/>
      <c r="HA24" s="2">
        <v>0</v>
      </c>
      <c r="HB24" s="2">
        <v>0</v>
      </c>
      <c r="HC24" s="2">
        <f t="shared" ref="HC24:HC41" si="46">GV24*GW24</f>
        <v>0</v>
      </c>
      <c r="HD24" s="2"/>
      <c r="HE24" s="2" t="s">
        <v>3</v>
      </c>
      <c r="HF24" s="2" t="s">
        <v>3</v>
      </c>
      <c r="HG24" s="2"/>
      <c r="HH24" s="2"/>
      <c r="HI24" s="2"/>
      <c r="HJ24" s="2"/>
      <c r="HK24" s="2"/>
      <c r="HL24" s="2"/>
      <c r="HM24" s="2" t="s">
        <v>3</v>
      </c>
      <c r="HN24" s="2" t="s">
        <v>24</v>
      </c>
      <c r="HO24" s="2" t="s">
        <v>25</v>
      </c>
      <c r="HP24" s="2" t="s">
        <v>22</v>
      </c>
      <c r="HQ24" s="2" t="s">
        <v>22</v>
      </c>
      <c r="HR24" s="2"/>
      <c r="HS24" s="2">
        <v>0</v>
      </c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>
        <v>-1</v>
      </c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>
        <v>17</v>
      </c>
      <c r="B25">
        <v>1</v>
      </c>
      <c r="C25">
        <f>ROW(SmtRes!A2)</f>
        <v>2</v>
      </c>
      <c r="D25">
        <f>ROW(EtalonRes!A2)</f>
        <v>2</v>
      </c>
      <c r="E25" t="s">
        <v>16</v>
      </c>
      <c r="F25" t="s">
        <v>17</v>
      </c>
      <c r="G25" t="s">
        <v>18</v>
      </c>
      <c r="H25" t="s">
        <v>19</v>
      </c>
      <c r="I25">
        <f>'1.Лок.смета.и.Акт'!E47</f>
        <v>8.4000000000000005E-2</v>
      </c>
      <c r="J25">
        <v>0</v>
      </c>
      <c r="K25">
        <v>8.4000000000000005E-2</v>
      </c>
      <c r="O25">
        <f t="shared" si="14"/>
        <v>0</v>
      </c>
      <c r="P25">
        <f t="shared" si="15"/>
        <v>0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1.7472000000000001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91261331</v>
      </c>
      <c r="AB25">
        <f t="shared" si="25"/>
        <v>0</v>
      </c>
      <c r="AC25">
        <f t="shared" si="26"/>
        <v>0</v>
      </c>
      <c r="AD25">
        <f>ROUND((((ET25)-(EU25))+AE25),2)</f>
        <v>0</v>
      </c>
      <c r="AE25">
        <f>ROUND((EU25),2)</f>
        <v>0</v>
      </c>
      <c r="AF25">
        <f>ROUND((EV25),2)</f>
        <v>0</v>
      </c>
      <c r="AG25">
        <f t="shared" si="27"/>
        <v>0</v>
      </c>
      <c r="AH25">
        <f>(EW25)</f>
        <v>20.8</v>
      </c>
      <c r="AI25">
        <f>(EX25)</f>
        <v>0</v>
      </c>
      <c r="AJ25">
        <f t="shared" si="28"/>
        <v>0</v>
      </c>
      <c r="AK25">
        <f>AL25+AM25+AO25</f>
        <v>0</v>
      </c>
      <c r="AL25">
        <v>0</v>
      </c>
      <c r="AM25">
        <v>0</v>
      </c>
      <c r="AN25">
        <v>0</v>
      </c>
      <c r="AO25" s="71">
        <f>'1.Лок.смета.и.Акт'!F48</f>
        <v>0</v>
      </c>
      <c r="AP25">
        <v>0</v>
      </c>
      <c r="AQ25">
        <f>'1.Лок.смета.и.Акт'!E51</f>
        <v>20.8</v>
      </c>
      <c r="AR25">
        <v>0</v>
      </c>
      <c r="AS25">
        <v>0</v>
      </c>
      <c r="AT25">
        <v>90</v>
      </c>
      <c r="AU25">
        <v>46</v>
      </c>
      <c r="AV25">
        <v>1</v>
      </c>
      <c r="AW25">
        <v>1</v>
      </c>
      <c r="AZ25">
        <v>1</v>
      </c>
      <c r="BA25">
        <f>'1.Лок.смета.и.Акт'!J48</f>
        <v>36.99</v>
      </c>
      <c r="BB25">
        <v>13.51</v>
      </c>
      <c r="BC25">
        <v>10.88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1</v>
      </c>
      <c r="BJ25" t="s">
        <v>20</v>
      </c>
      <c r="BM25">
        <v>62001</v>
      </c>
      <c r="BN25">
        <v>0</v>
      </c>
      <c r="BO25" t="s">
        <v>3</v>
      </c>
      <c r="BP25">
        <v>0</v>
      </c>
      <c r="BQ25">
        <v>6</v>
      </c>
      <c r="BR25">
        <v>0</v>
      </c>
      <c r="BS25">
        <v>36.99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90</v>
      </c>
      <c r="CA25">
        <v>46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29"/>
        <v>0</v>
      </c>
      <c r="CQ25">
        <f t="shared" si="30"/>
        <v>0</v>
      </c>
      <c r="CR25">
        <f>(((ET25)*BB25-(EU25)*BS25)+AE25*BS25)</f>
        <v>0</v>
      </c>
      <c r="CS25">
        <f t="shared" si="31"/>
        <v>0</v>
      </c>
      <c r="CT25">
        <f t="shared" si="32"/>
        <v>0</v>
      </c>
      <c r="CU25">
        <f t="shared" si="33"/>
        <v>0</v>
      </c>
      <c r="CV25">
        <f t="shared" si="34"/>
        <v>20.8</v>
      </c>
      <c r="CW25">
        <f t="shared" si="35"/>
        <v>0</v>
      </c>
      <c r="CX25">
        <f t="shared" si="36"/>
        <v>0</v>
      </c>
      <c r="CY25">
        <f t="shared" si="37"/>
        <v>0</v>
      </c>
      <c r="CZ25">
        <f t="shared" si="38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19</v>
      </c>
      <c r="DW25" t="str">
        <f>'1.Лок.смета.и.Акт'!D47</f>
        <v>100 м2 расчищенной поверхности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59670448</v>
      </c>
      <c r="EF25">
        <v>6</v>
      </c>
      <c r="EG25" t="s">
        <v>21</v>
      </c>
      <c r="EH25">
        <v>96</v>
      </c>
      <c r="EI25" t="s">
        <v>22</v>
      </c>
      <c r="EJ25">
        <v>1</v>
      </c>
      <c r="EK25">
        <v>62001</v>
      </c>
      <c r="EL25" t="s">
        <v>22</v>
      </c>
      <c r="EM25" t="s">
        <v>23</v>
      </c>
      <c r="EO25" t="s">
        <v>3</v>
      </c>
      <c r="EQ25">
        <v>0</v>
      </c>
      <c r="ER25">
        <f>ES25+ET25+EV25</f>
        <v>0</v>
      </c>
      <c r="ES25">
        <v>0</v>
      </c>
      <c r="ET25">
        <v>0</v>
      </c>
      <c r="EU25">
        <v>0</v>
      </c>
      <c r="EV25" s="71">
        <f>'1.Лок.смета.и.Акт'!F48</f>
        <v>0</v>
      </c>
      <c r="EW25">
        <f>'1.Лок.смета.и.Акт'!E51</f>
        <v>20.8</v>
      </c>
      <c r="EX25">
        <v>0</v>
      </c>
      <c r="EY25">
        <v>0</v>
      </c>
      <c r="FQ25">
        <v>0</v>
      </c>
      <c r="FR25">
        <v>0</v>
      </c>
      <c r="FS25">
        <v>0</v>
      </c>
      <c r="FX25">
        <v>90</v>
      </c>
      <c r="FY25">
        <v>46</v>
      </c>
      <c r="GA25" t="s">
        <v>3</v>
      </c>
      <c r="GD25">
        <v>1</v>
      </c>
      <c r="GF25">
        <v>1434634947</v>
      </c>
      <c r="GG25">
        <v>2</v>
      </c>
      <c r="GH25">
        <v>1</v>
      </c>
      <c r="GI25">
        <v>4</v>
      </c>
      <c r="GJ25">
        <v>0</v>
      </c>
      <c r="GK25">
        <v>0</v>
      </c>
      <c r="GL25">
        <f t="shared" si="39"/>
        <v>0</v>
      </c>
      <c r="GM25">
        <f t="shared" si="40"/>
        <v>0</v>
      </c>
      <c r="GN25">
        <f t="shared" si="41"/>
        <v>0</v>
      </c>
      <c r="GO25">
        <f t="shared" si="42"/>
        <v>0</v>
      </c>
      <c r="GP25">
        <f t="shared" si="43"/>
        <v>0</v>
      </c>
      <c r="GR25">
        <v>0</v>
      </c>
      <c r="GS25">
        <v>3</v>
      </c>
      <c r="GT25">
        <v>0</v>
      </c>
      <c r="GU25" t="s">
        <v>3</v>
      </c>
      <c r="GV25">
        <f t="shared" si="44"/>
        <v>0</v>
      </c>
      <c r="GW25">
        <v>1</v>
      </c>
      <c r="GX25">
        <f t="shared" si="45"/>
        <v>0</v>
      </c>
      <c r="HA25">
        <v>0</v>
      </c>
      <c r="HB25">
        <v>0</v>
      </c>
      <c r="HC25">
        <f t="shared" si="46"/>
        <v>0</v>
      </c>
      <c r="HE25" t="s">
        <v>3</v>
      </c>
      <c r="HF25" t="s">
        <v>3</v>
      </c>
      <c r="HM25" t="s">
        <v>3</v>
      </c>
      <c r="HN25" t="s">
        <v>24</v>
      </c>
      <c r="HO25" t="s">
        <v>25</v>
      </c>
      <c r="HP25" t="s">
        <v>22</v>
      </c>
      <c r="HQ25" t="s">
        <v>22</v>
      </c>
      <c r="HS25">
        <v>0</v>
      </c>
      <c r="IF25">
        <v>-1</v>
      </c>
      <c r="IK25">
        <v>0</v>
      </c>
    </row>
    <row r="26" spans="1:255" x14ac:dyDescent="0.2">
      <c r="A26" s="2">
        <v>17</v>
      </c>
      <c r="B26" s="2">
        <v>1</v>
      </c>
      <c r="C26" s="2">
        <f>ROW(SmtRes!A3)</f>
        <v>3</v>
      </c>
      <c r="D26" s="2">
        <f>ROW(EtalonRes!A3)</f>
        <v>3</v>
      </c>
      <c r="E26" s="2" t="s">
        <v>26</v>
      </c>
      <c r="F26" s="2" t="s">
        <v>27</v>
      </c>
      <c r="G26" s="2" t="s">
        <v>28</v>
      </c>
      <c r="H26" s="2" t="s">
        <v>29</v>
      </c>
      <c r="I26" s="2">
        <f>'1.Лок.смета.и.Акт'!E54</f>
        <v>0.24</v>
      </c>
      <c r="J26" s="2">
        <v>0</v>
      </c>
      <c r="K26" s="2">
        <v>0.24</v>
      </c>
      <c r="L26" s="2"/>
      <c r="M26" s="2"/>
      <c r="N26" s="2"/>
      <c r="O26" s="2">
        <f t="shared" si="14"/>
        <v>2</v>
      </c>
      <c r="P26" s="2">
        <f t="shared" si="15"/>
        <v>0</v>
      </c>
      <c r="Q26" s="2">
        <f t="shared" si="16"/>
        <v>0</v>
      </c>
      <c r="R26" s="2">
        <f t="shared" si="17"/>
        <v>0</v>
      </c>
      <c r="S26" s="2">
        <f t="shared" si="18"/>
        <v>2</v>
      </c>
      <c r="T26" s="2">
        <f t="shared" si="19"/>
        <v>0</v>
      </c>
      <c r="U26" s="2">
        <f t="shared" si="20"/>
        <v>0.24839999999999998</v>
      </c>
      <c r="V26" s="2">
        <f t="shared" si="21"/>
        <v>0</v>
      </c>
      <c r="W26" s="2">
        <f t="shared" si="22"/>
        <v>0</v>
      </c>
      <c r="X26" s="2">
        <f t="shared" si="23"/>
        <v>2</v>
      </c>
      <c r="Y26" s="2">
        <f t="shared" si="24"/>
        <v>1</v>
      </c>
      <c r="Z26" s="2"/>
      <c r="AA26" s="2">
        <v>91261330</v>
      </c>
      <c r="AB26" s="2">
        <f t="shared" si="25"/>
        <v>8.9</v>
      </c>
      <c r="AC26" s="2">
        <f t="shared" si="26"/>
        <v>0</v>
      </c>
      <c r="AD26" s="2">
        <f>ROUND(((((ET26*1.25))-((EU26*1.25)))+AE26),2)</f>
        <v>0</v>
      </c>
      <c r="AE26" s="2">
        <f>ROUND(((EU26*1.25)),2)</f>
        <v>0</v>
      </c>
      <c r="AF26" s="2">
        <f>ROUND(((EV26*1.15)),2)</f>
        <v>8.9</v>
      </c>
      <c r="AG26" s="2">
        <f t="shared" si="27"/>
        <v>0</v>
      </c>
      <c r="AH26" s="2">
        <f>((EW26*1.15))</f>
        <v>1.0349999999999999</v>
      </c>
      <c r="AI26" s="2">
        <f>((EX26*1.25))</f>
        <v>0</v>
      </c>
      <c r="AJ26" s="2">
        <f t="shared" si="28"/>
        <v>0</v>
      </c>
      <c r="AK26" s="2">
        <v>7.74</v>
      </c>
      <c r="AL26" s="2">
        <v>0</v>
      </c>
      <c r="AM26" s="2">
        <v>0</v>
      </c>
      <c r="AN26" s="2">
        <v>0</v>
      </c>
      <c r="AO26" s="2">
        <v>7.74</v>
      </c>
      <c r="AP26" s="2">
        <v>0</v>
      </c>
      <c r="AQ26" s="2">
        <v>0.9</v>
      </c>
      <c r="AR26" s="2">
        <v>0</v>
      </c>
      <c r="AS26" s="2">
        <v>0</v>
      </c>
      <c r="AT26" s="2">
        <v>94</v>
      </c>
      <c r="AU26" s="2">
        <v>51</v>
      </c>
      <c r="AV26" s="2">
        <v>1</v>
      </c>
      <c r="AW26" s="2">
        <v>1</v>
      </c>
      <c r="AX26" s="2"/>
      <c r="AY26" s="2"/>
      <c r="AZ26" s="2">
        <v>1</v>
      </c>
      <c r="BA26" s="2">
        <v>1</v>
      </c>
      <c r="BB26" s="2">
        <v>1</v>
      </c>
      <c r="BC26" s="2">
        <v>1</v>
      </c>
      <c r="BD26" s="2" t="s">
        <v>3</v>
      </c>
      <c r="BE26" s="2" t="s">
        <v>3</v>
      </c>
      <c r="BF26" s="2" t="s">
        <v>3</v>
      </c>
      <c r="BG26" s="2" t="s">
        <v>3</v>
      </c>
      <c r="BH26" s="2">
        <v>0</v>
      </c>
      <c r="BI26" s="2">
        <v>1</v>
      </c>
      <c r="BJ26" s="2" t="s">
        <v>30</v>
      </c>
      <c r="BK26" s="2"/>
      <c r="BL26" s="2"/>
      <c r="BM26" s="2">
        <v>13001</v>
      </c>
      <c r="BN26" s="2">
        <v>0</v>
      </c>
      <c r="BO26" s="2" t="s">
        <v>3</v>
      </c>
      <c r="BP26" s="2">
        <v>0</v>
      </c>
      <c r="BQ26" s="2">
        <v>2</v>
      </c>
      <c r="BR26" s="2">
        <v>0</v>
      </c>
      <c r="BS26" s="2">
        <v>1</v>
      </c>
      <c r="BT26" s="2">
        <v>1</v>
      </c>
      <c r="BU26" s="2">
        <v>1</v>
      </c>
      <c r="BV26" s="2">
        <v>1</v>
      </c>
      <c r="BW26" s="2">
        <v>1</v>
      </c>
      <c r="BX26" s="2">
        <v>1</v>
      </c>
      <c r="BY26" s="2" t="s">
        <v>3</v>
      </c>
      <c r="BZ26" s="2">
        <v>94</v>
      </c>
      <c r="CA26" s="2">
        <v>51</v>
      </c>
      <c r="CB26" s="2" t="s">
        <v>3</v>
      </c>
      <c r="CC26" s="2"/>
      <c r="CD26" s="2"/>
      <c r="CE26" s="2">
        <v>0</v>
      </c>
      <c r="CF26" s="2">
        <v>0</v>
      </c>
      <c r="CG26" s="2">
        <v>0</v>
      </c>
      <c r="CH26" s="2"/>
      <c r="CI26" s="2"/>
      <c r="CJ26" s="2"/>
      <c r="CK26" s="2"/>
      <c r="CL26" s="2"/>
      <c r="CM26" s="2">
        <v>0</v>
      </c>
      <c r="CN26" s="2" t="s">
        <v>232</v>
      </c>
      <c r="CO26" s="2">
        <v>0</v>
      </c>
      <c r="CP26" s="2">
        <f t="shared" si="29"/>
        <v>2</v>
      </c>
      <c r="CQ26" s="2">
        <f t="shared" si="30"/>
        <v>0</v>
      </c>
      <c r="CR26" s="2">
        <f>((((ET26*1.25))*BB26-((EU26*1.25))*BS26)+AE26*BS26)</f>
        <v>0</v>
      </c>
      <c r="CS26" s="2">
        <f t="shared" si="31"/>
        <v>0</v>
      </c>
      <c r="CT26" s="2">
        <f t="shared" si="32"/>
        <v>8.9</v>
      </c>
      <c r="CU26" s="2">
        <f t="shared" si="33"/>
        <v>0</v>
      </c>
      <c r="CV26" s="2">
        <f t="shared" si="34"/>
        <v>1.0349999999999999</v>
      </c>
      <c r="CW26" s="2">
        <f t="shared" si="35"/>
        <v>0</v>
      </c>
      <c r="CX26" s="2">
        <f t="shared" si="36"/>
        <v>0</v>
      </c>
      <c r="CY26" s="2">
        <f t="shared" si="37"/>
        <v>1.88</v>
      </c>
      <c r="CZ26" s="2">
        <f t="shared" si="38"/>
        <v>1.02</v>
      </c>
      <c r="DA26" s="2"/>
      <c r="DB26" s="2">
        <v>1</v>
      </c>
      <c r="DC26" s="2" t="s">
        <v>3</v>
      </c>
      <c r="DD26" s="2" t="s">
        <v>3</v>
      </c>
      <c r="DE26" s="2" t="s">
        <v>31</v>
      </c>
      <c r="DF26" s="2" t="s">
        <v>31</v>
      </c>
      <c r="DG26" s="2" t="s">
        <v>32</v>
      </c>
      <c r="DH26" s="2" t="s">
        <v>3</v>
      </c>
      <c r="DI26" s="2" t="s">
        <v>32</v>
      </c>
      <c r="DJ26" s="2" t="s">
        <v>31</v>
      </c>
      <c r="DK26" s="2" t="s">
        <v>3</v>
      </c>
      <c r="DL26" s="2" t="s">
        <v>3</v>
      </c>
      <c r="DM26" s="2" t="s">
        <v>3</v>
      </c>
      <c r="DN26" s="2">
        <v>0</v>
      </c>
      <c r="DO26" s="2">
        <v>0</v>
      </c>
      <c r="DP26" s="2">
        <v>1</v>
      </c>
      <c r="DQ26" s="2">
        <v>1</v>
      </c>
      <c r="DR26" s="2"/>
      <c r="DS26" s="2"/>
      <c r="DT26" s="2"/>
      <c r="DU26" s="2">
        <v>1013</v>
      </c>
      <c r="DV26" s="2" t="s">
        <v>29</v>
      </c>
      <c r="DW26" s="2" t="s">
        <v>29</v>
      </c>
      <c r="DX26" s="2">
        <v>1</v>
      </c>
      <c r="DY26" s="2"/>
      <c r="DZ26" s="2" t="s">
        <v>3</v>
      </c>
      <c r="EA26" s="2" t="s">
        <v>3</v>
      </c>
      <c r="EB26" s="2" t="s">
        <v>3</v>
      </c>
      <c r="EC26" s="2" t="s">
        <v>3</v>
      </c>
      <c r="ED26" s="2"/>
      <c r="EE26" s="2">
        <v>59670320</v>
      </c>
      <c r="EF26" s="2">
        <v>2</v>
      </c>
      <c r="EG26" s="2" t="s">
        <v>33</v>
      </c>
      <c r="EH26" s="2">
        <v>13</v>
      </c>
      <c r="EI26" s="2" t="s">
        <v>34</v>
      </c>
      <c r="EJ26" s="2">
        <v>1</v>
      </c>
      <c r="EK26" s="2">
        <v>13001</v>
      </c>
      <c r="EL26" s="2" t="s">
        <v>35</v>
      </c>
      <c r="EM26" s="2" t="s">
        <v>36</v>
      </c>
      <c r="EN26" s="2"/>
      <c r="EO26" s="2" t="s">
        <v>37</v>
      </c>
      <c r="EP26" s="2"/>
      <c r="EQ26" s="2">
        <v>0</v>
      </c>
      <c r="ER26" s="2">
        <v>7.74</v>
      </c>
      <c r="ES26" s="2">
        <v>0</v>
      </c>
      <c r="ET26" s="2">
        <v>0</v>
      </c>
      <c r="EU26" s="2">
        <v>0</v>
      </c>
      <c r="EV26" s="2">
        <v>7.74</v>
      </c>
      <c r="EW26" s="2">
        <v>0.9</v>
      </c>
      <c r="EX26" s="2">
        <v>0</v>
      </c>
      <c r="EY26" s="2">
        <v>0</v>
      </c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>
        <v>0</v>
      </c>
      <c r="FR26" s="2">
        <v>0</v>
      </c>
      <c r="FS26" s="2">
        <v>0</v>
      </c>
      <c r="FT26" s="2"/>
      <c r="FU26" s="2"/>
      <c r="FV26" s="2"/>
      <c r="FW26" s="2"/>
      <c r="FX26" s="2">
        <v>94</v>
      </c>
      <c r="FY26" s="2">
        <v>51</v>
      </c>
      <c r="FZ26" s="2"/>
      <c r="GA26" s="2" t="s">
        <v>3</v>
      </c>
      <c r="GB26" s="2"/>
      <c r="GC26" s="2"/>
      <c r="GD26" s="2">
        <v>1</v>
      </c>
      <c r="GE26" s="2"/>
      <c r="GF26" s="2">
        <v>1762511269</v>
      </c>
      <c r="GG26" s="2">
        <v>2</v>
      </c>
      <c r="GH26" s="2">
        <v>1</v>
      </c>
      <c r="GI26" s="2">
        <v>-2</v>
      </c>
      <c r="GJ26" s="2">
        <v>0</v>
      </c>
      <c r="GK26" s="2">
        <v>0</v>
      </c>
      <c r="GL26" s="2">
        <f t="shared" si="39"/>
        <v>0</v>
      </c>
      <c r="GM26" s="2">
        <f t="shared" si="40"/>
        <v>5</v>
      </c>
      <c r="GN26" s="2">
        <f t="shared" si="41"/>
        <v>5</v>
      </c>
      <c r="GO26" s="2">
        <f t="shared" si="42"/>
        <v>0</v>
      </c>
      <c r="GP26" s="2">
        <f t="shared" si="43"/>
        <v>0</v>
      </c>
      <c r="GQ26" s="2"/>
      <c r="GR26" s="2">
        <v>0</v>
      </c>
      <c r="GS26" s="2">
        <v>3</v>
      </c>
      <c r="GT26" s="2">
        <v>0</v>
      </c>
      <c r="GU26" s="2" t="s">
        <v>3</v>
      </c>
      <c r="GV26" s="2">
        <f t="shared" si="44"/>
        <v>0</v>
      </c>
      <c r="GW26" s="2">
        <v>1</v>
      </c>
      <c r="GX26" s="2">
        <f t="shared" si="45"/>
        <v>0</v>
      </c>
      <c r="GY26" s="2"/>
      <c r="GZ26" s="2"/>
      <c r="HA26" s="2">
        <v>0</v>
      </c>
      <c r="HB26" s="2">
        <v>0</v>
      </c>
      <c r="HC26" s="2">
        <f t="shared" si="46"/>
        <v>0</v>
      </c>
      <c r="HD26" s="2"/>
      <c r="HE26" s="2" t="s">
        <v>3</v>
      </c>
      <c r="HF26" s="2" t="s">
        <v>3</v>
      </c>
      <c r="HG26" s="2"/>
      <c r="HH26" s="2"/>
      <c r="HI26" s="2"/>
      <c r="HJ26" s="2"/>
      <c r="HK26" s="2"/>
      <c r="HL26" s="2"/>
      <c r="HM26" s="2" t="s">
        <v>3</v>
      </c>
      <c r="HN26" s="2" t="s">
        <v>38</v>
      </c>
      <c r="HO26" s="2" t="s">
        <v>39</v>
      </c>
      <c r="HP26" s="2" t="s">
        <v>34</v>
      </c>
      <c r="HQ26" s="2" t="s">
        <v>34</v>
      </c>
      <c r="HR26" s="2"/>
      <c r="HS26" s="2">
        <v>0</v>
      </c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>
        <v>-1</v>
      </c>
      <c r="IG26" s="2"/>
      <c r="IH26" s="2"/>
      <c r="II26" s="2"/>
      <c r="IJ26" s="2"/>
      <c r="IK26" s="2">
        <v>0</v>
      </c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x14ac:dyDescent="0.2">
      <c r="A27">
        <v>17</v>
      </c>
      <c r="B27">
        <v>1</v>
      </c>
      <c r="C27">
        <f>ROW(SmtRes!A4)</f>
        <v>4</v>
      </c>
      <c r="D27">
        <f>ROW(EtalonRes!A4)</f>
        <v>4</v>
      </c>
      <c r="E27" t="s">
        <v>26</v>
      </c>
      <c r="F27" t="s">
        <v>27</v>
      </c>
      <c r="G27" t="s">
        <v>28</v>
      </c>
      <c r="H27" t="s">
        <v>29</v>
      </c>
      <c r="I27">
        <f>'1.Лок.смета.и.Акт'!E54</f>
        <v>0.24</v>
      </c>
      <c r="J27">
        <v>0</v>
      </c>
      <c r="K27">
        <v>0.24</v>
      </c>
      <c r="O27">
        <f t="shared" si="14"/>
        <v>0</v>
      </c>
      <c r="P27">
        <f t="shared" si="15"/>
        <v>0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0.24839999999999998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91261331</v>
      </c>
      <c r="AB27">
        <f t="shared" si="25"/>
        <v>0</v>
      </c>
      <c r="AC27">
        <f t="shared" si="26"/>
        <v>0</v>
      </c>
      <c r="AD27">
        <f>ROUND(((((ET27*1.25))-((EU27*1.25)))+AE27),2)</f>
        <v>0</v>
      </c>
      <c r="AE27">
        <f>ROUND(((EU27*1.25)),2)</f>
        <v>0</v>
      </c>
      <c r="AF27">
        <f>ROUND(((EV27*1.15)),2)</f>
        <v>0</v>
      </c>
      <c r="AG27">
        <f t="shared" si="27"/>
        <v>0</v>
      </c>
      <c r="AH27">
        <f>((EW27*1.15))</f>
        <v>1.0349999999999999</v>
      </c>
      <c r="AI27">
        <f>((EX27*1.25))</f>
        <v>0</v>
      </c>
      <c r="AJ27">
        <f t="shared" si="28"/>
        <v>0</v>
      </c>
      <c r="AK27">
        <f>AL27+AM27+AO27</f>
        <v>0</v>
      </c>
      <c r="AL27">
        <v>0</v>
      </c>
      <c r="AM27">
        <v>0</v>
      </c>
      <c r="AN27">
        <v>0</v>
      </c>
      <c r="AO27" s="71">
        <f>'1.Лок.смета.и.Акт'!F55</f>
        <v>0</v>
      </c>
      <c r="AP27">
        <v>0</v>
      </c>
      <c r="AQ27">
        <f>'1.Лок.смета.и.Акт'!E58</f>
        <v>0.9</v>
      </c>
      <c r="AR27">
        <v>0</v>
      </c>
      <c r="AS27">
        <v>0</v>
      </c>
      <c r="AT27">
        <v>94</v>
      </c>
      <c r="AU27">
        <v>51</v>
      </c>
      <c r="AV27">
        <v>1</v>
      </c>
      <c r="AW27">
        <v>1</v>
      </c>
      <c r="AZ27">
        <v>1</v>
      </c>
      <c r="BA27">
        <f>'1.Лок.смета.и.Акт'!J55</f>
        <v>36.99</v>
      </c>
      <c r="BB27">
        <v>13.51</v>
      </c>
      <c r="BC27">
        <v>10.88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1</v>
      </c>
      <c r="BJ27" t="s">
        <v>30</v>
      </c>
      <c r="BM27">
        <v>13001</v>
      </c>
      <c r="BN27">
        <v>0</v>
      </c>
      <c r="BO27" t="s">
        <v>3</v>
      </c>
      <c r="BP27">
        <v>0</v>
      </c>
      <c r="BQ27">
        <v>2</v>
      </c>
      <c r="BR27">
        <v>0</v>
      </c>
      <c r="BS27">
        <v>36.99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94</v>
      </c>
      <c r="CA27">
        <v>51</v>
      </c>
      <c r="CB27" t="s">
        <v>3</v>
      </c>
      <c r="CE27">
        <v>0</v>
      </c>
      <c r="CF27">
        <v>0</v>
      </c>
      <c r="CG27">
        <v>0</v>
      </c>
      <c r="CM27">
        <v>0</v>
      </c>
      <c r="CN27" t="s">
        <v>232</v>
      </c>
      <c r="CO27">
        <v>0</v>
      </c>
      <c r="CP27">
        <f t="shared" si="29"/>
        <v>0</v>
      </c>
      <c r="CQ27">
        <f t="shared" si="30"/>
        <v>0</v>
      </c>
      <c r="CR27">
        <f>((((ET27*1.25))*BB27-((EU27*1.25))*BS27)+AE27*BS27)</f>
        <v>0</v>
      </c>
      <c r="CS27">
        <f t="shared" si="31"/>
        <v>0</v>
      </c>
      <c r="CT27">
        <f t="shared" si="32"/>
        <v>0</v>
      </c>
      <c r="CU27">
        <f t="shared" si="33"/>
        <v>0</v>
      </c>
      <c r="CV27">
        <f t="shared" si="34"/>
        <v>1.0349999999999999</v>
      </c>
      <c r="CW27">
        <f t="shared" si="35"/>
        <v>0</v>
      </c>
      <c r="CX27">
        <f t="shared" si="36"/>
        <v>0</v>
      </c>
      <c r="CY27">
        <f t="shared" si="37"/>
        <v>0</v>
      </c>
      <c r="CZ27">
        <f t="shared" si="38"/>
        <v>0</v>
      </c>
      <c r="DB27">
        <v>2</v>
      </c>
      <c r="DC27" t="s">
        <v>3</v>
      </c>
      <c r="DD27" t="s">
        <v>3</v>
      </c>
      <c r="DE27" t="s">
        <v>31</v>
      </c>
      <c r="DF27" t="s">
        <v>31</v>
      </c>
      <c r="DG27" t="s">
        <v>32</v>
      </c>
      <c r="DH27" t="s">
        <v>3</v>
      </c>
      <c r="DI27" t="s">
        <v>32</v>
      </c>
      <c r="DJ27" t="s">
        <v>31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1013</v>
      </c>
      <c r="DV27" t="s">
        <v>29</v>
      </c>
      <c r="DW27" t="str">
        <f>'1.Лок.смета.и.Акт'!D54</f>
        <v>1 м2 очищаемой поверхности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59670320</v>
      </c>
      <c r="EF27">
        <v>2</v>
      </c>
      <c r="EG27" t="s">
        <v>33</v>
      </c>
      <c r="EH27">
        <v>13</v>
      </c>
      <c r="EI27" t="s">
        <v>34</v>
      </c>
      <c r="EJ27">
        <v>1</v>
      </c>
      <c r="EK27">
        <v>13001</v>
      </c>
      <c r="EL27" t="s">
        <v>35</v>
      </c>
      <c r="EM27" t="s">
        <v>36</v>
      </c>
      <c r="EO27" t="s">
        <v>37</v>
      </c>
      <c r="EQ27">
        <v>0</v>
      </c>
      <c r="ER27">
        <f>ES27+ET27+EV27</f>
        <v>0</v>
      </c>
      <c r="ES27">
        <v>0</v>
      </c>
      <c r="ET27">
        <v>0</v>
      </c>
      <c r="EU27">
        <v>0</v>
      </c>
      <c r="EV27" s="71">
        <f>'1.Лок.смета.и.Акт'!F55</f>
        <v>0</v>
      </c>
      <c r="EW27">
        <f>'1.Лок.смета.и.Акт'!E58</f>
        <v>0.9</v>
      </c>
      <c r="EX27">
        <v>0</v>
      </c>
      <c r="EY27">
        <v>0</v>
      </c>
      <c r="FQ27">
        <v>0</v>
      </c>
      <c r="FR27">
        <v>0</v>
      </c>
      <c r="FS27">
        <v>0</v>
      </c>
      <c r="FX27">
        <v>94</v>
      </c>
      <c r="FY27">
        <v>51</v>
      </c>
      <c r="GA27" t="s">
        <v>3</v>
      </c>
      <c r="GD27">
        <v>1</v>
      </c>
      <c r="GF27">
        <v>1762511269</v>
      </c>
      <c r="GG27">
        <v>2</v>
      </c>
      <c r="GH27">
        <v>1</v>
      </c>
      <c r="GI27">
        <v>4</v>
      </c>
      <c r="GJ27">
        <v>0</v>
      </c>
      <c r="GK27">
        <v>0</v>
      </c>
      <c r="GL27">
        <f t="shared" si="39"/>
        <v>0</v>
      </c>
      <c r="GM27">
        <f t="shared" si="40"/>
        <v>0</v>
      </c>
      <c r="GN27">
        <f t="shared" si="41"/>
        <v>0</v>
      </c>
      <c r="GO27">
        <f t="shared" si="42"/>
        <v>0</v>
      </c>
      <c r="GP27">
        <f t="shared" si="43"/>
        <v>0</v>
      </c>
      <c r="GR27">
        <v>0</v>
      </c>
      <c r="GS27">
        <v>3</v>
      </c>
      <c r="GT27">
        <v>0</v>
      </c>
      <c r="GU27" t="s">
        <v>3</v>
      </c>
      <c r="GV27">
        <f t="shared" si="44"/>
        <v>0</v>
      </c>
      <c r="GW27">
        <v>1</v>
      </c>
      <c r="GX27">
        <f t="shared" si="45"/>
        <v>0</v>
      </c>
      <c r="HA27">
        <v>0</v>
      </c>
      <c r="HB27">
        <v>0</v>
      </c>
      <c r="HC27">
        <f t="shared" si="46"/>
        <v>0</v>
      </c>
      <c r="HE27" t="s">
        <v>3</v>
      </c>
      <c r="HF27" t="s">
        <v>3</v>
      </c>
      <c r="HM27" t="s">
        <v>3</v>
      </c>
      <c r="HN27" t="s">
        <v>38</v>
      </c>
      <c r="HO27" t="s">
        <v>39</v>
      </c>
      <c r="HP27" t="s">
        <v>34</v>
      </c>
      <c r="HQ27" t="s">
        <v>34</v>
      </c>
      <c r="HS27">
        <v>0</v>
      </c>
      <c r="IF27">
        <v>-1</v>
      </c>
      <c r="IK27">
        <v>0</v>
      </c>
    </row>
    <row r="28" spans="1:255" x14ac:dyDescent="0.2">
      <c r="A28" s="2">
        <v>17</v>
      </c>
      <c r="B28" s="2">
        <v>1</v>
      </c>
      <c r="C28" s="2">
        <f>ROW(SmtRes!A7)</f>
        <v>7</v>
      </c>
      <c r="D28" s="2">
        <f>ROW(EtalonRes!A7)</f>
        <v>7</v>
      </c>
      <c r="E28" s="2" t="s">
        <v>40</v>
      </c>
      <c r="F28" s="2" t="s">
        <v>41</v>
      </c>
      <c r="G28" s="2" t="s">
        <v>42</v>
      </c>
      <c r="H28" s="2" t="s">
        <v>43</v>
      </c>
      <c r="I28" s="2">
        <f>'1.Лок.смета.и.Акт'!E61</f>
        <v>1.6799999999999999E-2</v>
      </c>
      <c r="J28" s="2">
        <v>0</v>
      </c>
      <c r="K28" s="2">
        <v>1.6799999999999999E-2</v>
      </c>
      <c r="L28" s="2"/>
      <c r="M28" s="2"/>
      <c r="N28" s="2"/>
      <c r="O28" s="2">
        <f t="shared" si="14"/>
        <v>2</v>
      </c>
      <c r="P28" s="2">
        <f t="shared" si="15"/>
        <v>0</v>
      </c>
      <c r="Q28" s="2">
        <f t="shared" si="16"/>
        <v>1</v>
      </c>
      <c r="R28" s="2">
        <f t="shared" si="17"/>
        <v>1</v>
      </c>
      <c r="S28" s="2">
        <f t="shared" si="18"/>
        <v>1</v>
      </c>
      <c r="T28" s="2">
        <f t="shared" si="19"/>
        <v>0</v>
      </c>
      <c r="U28" s="2">
        <f t="shared" si="20"/>
        <v>8.9543999999999999E-2</v>
      </c>
      <c r="V28" s="2">
        <f t="shared" si="21"/>
        <v>5.9808E-2</v>
      </c>
      <c r="W28" s="2">
        <f t="shared" si="22"/>
        <v>0</v>
      </c>
      <c r="X28" s="2">
        <f t="shared" si="23"/>
        <v>1</v>
      </c>
      <c r="Y28" s="2">
        <f t="shared" si="24"/>
        <v>1</v>
      </c>
      <c r="Z28" s="2"/>
      <c r="AA28" s="2">
        <v>91261330</v>
      </c>
      <c r="AB28" s="2">
        <f t="shared" si="25"/>
        <v>90.09</v>
      </c>
      <c r="AC28" s="2">
        <f t="shared" si="26"/>
        <v>0</v>
      </c>
      <c r="AD28" s="2">
        <f t="shared" ref="AD28:AD37" si="47">ROUND((((ET28)-(EU28))+AE28),2)</f>
        <v>44.25</v>
      </c>
      <c r="AE28" s="2">
        <f t="shared" ref="AE28:AE37" si="48">ROUND((EU28),2)</f>
        <v>36.1</v>
      </c>
      <c r="AF28" s="2">
        <f t="shared" ref="AF28:AF37" si="49">ROUND((EV28),2)</f>
        <v>45.84</v>
      </c>
      <c r="AG28" s="2">
        <f t="shared" si="27"/>
        <v>0</v>
      </c>
      <c r="AH28" s="2">
        <f t="shared" ref="AH28:AH37" si="50">(EW28)</f>
        <v>5.33</v>
      </c>
      <c r="AI28" s="2">
        <f t="shared" ref="AI28:AI37" si="51">(EX28)</f>
        <v>3.56</v>
      </c>
      <c r="AJ28" s="2">
        <f t="shared" si="28"/>
        <v>0</v>
      </c>
      <c r="AK28" s="2">
        <v>90.09</v>
      </c>
      <c r="AL28" s="2">
        <v>0</v>
      </c>
      <c r="AM28" s="2">
        <v>44.25</v>
      </c>
      <c r="AN28" s="2">
        <v>36.1</v>
      </c>
      <c r="AO28" s="2">
        <v>45.84</v>
      </c>
      <c r="AP28" s="2">
        <v>0</v>
      </c>
      <c r="AQ28" s="2">
        <v>5.33</v>
      </c>
      <c r="AR28" s="2">
        <v>3.56</v>
      </c>
      <c r="AS28" s="2">
        <v>0</v>
      </c>
      <c r="AT28" s="2">
        <v>73</v>
      </c>
      <c r="AU28" s="2">
        <v>34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44</v>
      </c>
      <c r="BK28" s="2"/>
      <c r="BL28" s="2"/>
      <c r="BM28" s="2">
        <v>46002</v>
      </c>
      <c r="BN28" s="2">
        <v>0</v>
      </c>
      <c r="BO28" s="2" t="s">
        <v>3</v>
      </c>
      <c r="BP28" s="2">
        <v>0</v>
      </c>
      <c r="BQ28" s="2">
        <v>2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73</v>
      </c>
      <c r="CA28" s="2">
        <v>34</v>
      </c>
      <c r="CB28" s="2" t="s">
        <v>3</v>
      </c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3</v>
      </c>
      <c r="CO28" s="2">
        <v>0</v>
      </c>
      <c r="CP28" s="2">
        <f t="shared" si="29"/>
        <v>2</v>
      </c>
      <c r="CQ28" s="2">
        <f t="shared" si="30"/>
        <v>0</v>
      </c>
      <c r="CR28" s="2">
        <f t="shared" ref="CR28:CR37" si="52">(((ET28)*BB28-(EU28)*BS28)+AE28*BS28)</f>
        <v>44.25</v>
      </c>
      <c r="CS28" s="2">
        <f t="shared" si="31"/>
        <v>36.1</v>
      </c>
      <c r="CT28" s="2">
        <f t="shared" si="32"/>
        <v>45.84</v>
      </c>
      <c r="CU28" s="2">
        <f t="shared" si="33"/>
        <v>0</v>
      </c>
      <c r="CV28" s="2">
        <f t="shared" si="34"/>
        <v>5.33</v>
      </c>
      <c r="CW28" s="2">
        <f t="shared" si="35"/>
        <v>3.56</v>
      </c>
      <c r="CX28" s="2">
        <f t="shared" si="36"/>
        <v>0</v>
      </c>
      <c r="CY28" s="2">
        <f t="shared" si="37"/>
        <v>1.46</v>
      </c>
      <c r="CZ28" s="2">
        <f t="shared" si="38"/>
        <v>0.68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43</v>
      </c>
      <c r="DW28" s="2" t="s">
        <v>43</v>
      </c>
      <c r="DX28" s="2">
        <v>1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59670591</v>
      </c>
      <c r="EF28" s="2">
        <v>2</v>
      </c>
      <c r="EG28" s="2" t="s">
        <v>33</v>
      </c>
      <c r="EH28" s="2">
        <v>108</v>
      </c>
      <c r="EI28" s="2" t="s">
        <v>45</v>
      </c>
      <c r="EJ28" s="2">
        <v>1</v>
      </c>
      <c r="EK28" s="2">
        <v>46002</v>
      </c>
      <c r="EL28" s="2" t="s">
        <v>45</v>
      </c>
      <c r="EM28" s="2" t="s">
        <v>46</v>
      </c>
      <c r="EN28" s="2"/>
      <c r="EO28" s="2" t="s">
        <v>3</v>
      </c>
      <c r="EP28" s="2"/>
      <c r="EQ28" s="2">
        <v>0</v>
      </c>
      <c r="ER28" s="2">
        <v>90.09</v>
      </c>
      <c r="ES28" s="2">
        <v>0</v>
      </c>
      <c r="ET28" s="2">
        <v>44.25</v>
      </c>
      <c r="EU28" s="2">
        <v>36.1</v>
      </c>
      <c r="EV28" s="2">
        <v>45.84</v>
      </c>
      <c r="EW28" s="2">
        <v>5.33</v>
      </c>
      <c r="EX28" s="2">
        <v>3.56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v>0</v>
      </c>
      <c r="FS28" s="2">
        <v>0</v>
      </c>
      <c r="FT28" s="2"/>
      <c r="FU28" s="2"/>
      <c r="FV28" s="2"/>
      <c r="FW28" s="2"/>
      <c r="FX28" s="2">
        <v>73</v>
      </c>
      <c r="FY28" s="2">
        <v>34</v>
      </c>
      <c r="FZ28" s="2"/>
      <c r="GA28" s="2" t="s">
        <v>3</v>
      </c>
      <c r="GB28" s="2"/>
      <c r="GC28" s="2"/>
      <c r="GD28" s="2">
        <v>1</v>
      </c>
      <c r="GE28" s="2"/>
      <c r="GF28" s="2">
        <v>1669205533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si="39"/>
        <v>0</v>
      </c>
      <c r="GM28" s="2">
        <f t="shared" si="40"/>
        <v>4</v>
      </c>
      <c r="GN28" s="2">
        <f t="shared" si="41"/>
        <v>4</v>
      </c>
      <c r="GO28" s="2">
        <f t="shared" si="42"/>
        <v>0</v>
      </c>
      <c r="GP28" s="2">
        <f t="shared" si="43"/>
        <v>0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si="44"/>
        <v>0</v>
      </c>
      <c r="GW28" s="2">
        <v>1</v>
      </c>
      <c r="GX28" s="2">
        <f t="shared" si="45"/>
        <v>0</v>
      </c>
      <c r="GY28" s="2"/>
      <c r="GZ28" s="2"/>
      <c r="HA28" s="2">
        <v>0</v>
      </c>
      <c r="HB28" s="2">
        <v>0</v>
      </c>
      <c r="HC28" s="2">
        <f t="shared" si="46"/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47</v>
      </c>
      <c r="HO28" s="2" t="s">
        <v>48</v>
      </c>
      <c r="HP28" s="2" t="s">
        <v>49</v>
      </c>
      <c r="HQ28" s="2" t="s">
        <v>49</v>
      </c>
      <c r="HR28" s="2"/>
      <c r="HS28" s="2">
        <v>0</v>
      </c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>
        <v>-1</v>
      </c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ROW(SmtRes!A10)</f>
        <v>10</v>
      </c>
      <c r="D29">
        <f>ROW(EtalonRes!A10)</f>
        <v>10</v>
      </c>
      <c r="E29" t="s">
        <v>40</v>
      </c>
      <c r="F29" t="s">
        <v>41</v>
      </c>
      <c r="G29" t="s">
        <v>42</v>
      </c>
      <c r="H29" t="s">
        <v>43</v>
      </c>
      <c r="I29">
        <f>'1.Лок.смета.и.Акт'!E61</f>
        <v>1.6799999999999999E-2</v>
      </c>
      <c r="J29">
        <v>0</v>
      </c>
      <c r="K29">
        <v>1.6799999999999999E-2</v>
      </c>
      <c r="O29">
        <f t="shared" si="14"/>
        <v>0</v>
      </c>
      <c r="P29">
        <f t="shared" si="15"/>
        <v>0</v>
      </c>
      <c r="Q29">
        <f t="shared" si="16"/>
        <v>0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8.9543999999999999E-2</v>
      </c>
      <c r="V29">
        <f t="shared" si="21"/>
        <v>5.9808E-2</v>
      </c>
      <c r="W29">
        <f t="shared" si="22"/>
        <v>0</v>
      </c>
      <c r="X29">
        <f t="shared" si="23"/>
        <v>0</v>
      </c>
      <c r="Y29">
        <f t="shared" si="24"/>
        <v>0</v>
      </c>
      <c r="AA29">
        <v>91261331</v>
      </c>
      <c r="AB29">
        <f t="shared" si="25"/>
        <v>0</v>
      </c>
      <c r="AC29">
        <f t="shared" si="26"/>
        <v>0</v>
      </c>
      <c r="AD29">
        <f t="shared" si="47"/>
        <v>0</v>
      </c>
      <c r="AE29">
        <f t="shared" si="48"/>
        <v>0</v>
      </c>
      <c r="AF29">
        <f t="shared" si="49"/>
        <v>0</v>
      </c>
      <c r="AG29">
        <f t="shared" si="27"/>
        <v>0</v>
      </c>
      <c r="AH29">
        <f t="shared" si="50"/>
        <v>5.33</v>
      </c>
      <c r="AI29">
        <f t="shared" si="51"/>
        <v>3.56</v>
      </c>
      <c r="AJ29">
        <f t="shared" si="28"/>
        <v>0</v>
      </c>
      <c r="AK29">
        <f>AL29+AM29+AO29</f>
        <v>0</v>
      </c>
      <c r="AL29">
        <v>0</v>
      </c>
      <c r="AM29" s="71">
        <f>'1.Лок.смета.и.Акт'!F63</f>
        <v>0</v>
      </c>
      <c r="AN29" s="71">
        <f>'1.Лок.смета.и.Акт'!F64</f>
        <v>0</v>
      </c>
      <c r="AO29" s="71">
        <f>'1.Лок.смета.и.Акт'!F62</f>
        <v>0</v>
      </c>
      <c r="AP29">
        <v>0</v>
      </c>
      <c r="AQ29">
        <f>'1.Лок.смета.и.Акт'!E67</f>
        <v>5.33</v>
      </c>
      <c r="AR29">
        <v>3.56</v>
      </c>
      <c r="AS29">
        <v>0</v>
      </c>
      <c r="AT29">
        <v>73</v>
      </c>
      <c r="AU29">
        <v>34</v>
      </c>
      <c r="AV29">
        <v>1</v>
      </c>
      <c r="AW29">
        <v>1</v>
      </c>
      <c r="AZ29">
        <v>1</v>
      </c>
      <c r="BA29">
        <f>'1.Лок.смета.и.Акт'!J62</f>
        <v>36.99</v>
      </c>
      <c r="BB29">
        <f>'1.Лок.смета.и.Акт'!J63</f>
        <v>13.51</v>
      </c>
      <c r="BC29">
        <v>10.88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44</v>
      </c>
      <c r="BM29">
        <v>46002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f>'1.Лок.смета.и.Акт'!J64</f>
        <v>36.99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73</v>
      </c>
      <c r="CA29">
        <v>34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9"/>
        <v>0</v>
      </c>
      <c r="CQ29">
        <f t="shared" si="30"/>
        <v>0</v>
      </c>
      <c r="CR29">
        <f t="shared" si="52"/>
        <v>0</v>
      </c>
      <c r="CS29">
        <f t="shared" si="31"/>
        <v>0</v>
      </c>
      <c r="CT29">
        <f t="shared" si="32"/>
        <v>0</v>
      </c>
      <c r="CU29">
        <f t="shared" si="33"/>
        <v>0</v>
      </c>
      <c r="CV29">
        <f t="shared" si="34"/>
        <v>5.33</v>
      </c>
      <c r="CW29">
        <f t="shared" si="35"/>
        <v>3.56</v>
      </c>
      <c r="CX29">
        <f t="shared" si="36"/>
        <v>0</v>
      </c>
      <c r="CY29">
        <f t="shared" si="37"/>
        <v>0</v>
      </c>
      <c r="CZ29">
        <f t="shared" si="38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43</v>
      </c>
      <c r="DW29" t="str">
        <f>'1.Лок.смета.и.Акт'!D61</f>
        <v>1 м3 готового состава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59670591</v>
      </c>
      <c r="EF29">
        <v>2</v>
      </c>
      <c r="EG29" t="s">
        <v>33</v>
      </c>
      <c r="EH29">
        <v>108</v>
      </c>
      <c r="EI29" t="s">
        <v>45</v>
      </c>
      <c r="EJ29">
        <v>1</v>
      </c>
      <c r="EK29">
        <v>46002</v>
      </c>
      <c r="EL29" t="s">
        <v>45</v>
      </c>
      <c r="EM29" t="s">
        <v>46</v>
      </c>
      <c r="EO29" t="s">
        <v>3</v>
      </c>
      <c r="EQ29">
        <v>0</v>
      </c>
      <c r="ER29">
        <f>ES29+ET29+EV29</f>
        <v>0</v>
      </c>
      <c r="ES29">
        <v>0</v>
      </c>
      <c r="ET29" s="71">
        <f>'1.Лок.смета.и.Акт'!F63</f>
        <v>0</v>
      </c>
      <c r="EU29" s="71">
        <f>'1.Лок.смета.и.Акт'!F64</f>
        <v>0</v>
      </c>
      <c r="EV29" s="71">
        <f>'1.Лок.смета.и.Акт'!F62</f>
        <v>0</v>
      </c>
      <c r="EW29">
        <f>'1.Лок.смета.и.Акт'!E67</f>
        <v>5.33</v>
      </c>
      <c r="EX29">
        <v>3.56</v>
      </c>
      <c r="EY29">
        <v>0</v>
      </c>
      <c r="FQ29">
        <v>0</v>
      </c>
      <c r="FR29">
        <v>0</v>
      </c>
      <c r="FS29">
        <v>0</v>
      </c>
      <c r="FX29">
        <v>73</v>
      </c>
      <c r="FY29">
        <v>34</v>
      </c>
      <c r="GA29" t="s">
        <v>3</v>
      </c>
      <c r="GD29">
        <v>1</v>
      </c>
      <c r="GF29">
        <v>1669205533</v>
      </c>
      <c r="GG29">
        <v>2</v>
      </c>
      <c r="GH29">
        <v>1</v>
      </c>
      <c r="GI29">
        <v>4</v>
      </c>
      <c r="GJ29">
        <v>0</v>
      </c>
      <c r="GK29">
        <v>0</v>
      </c>
      <c r="GL29">
        <f t="shared" si="39"/>
        <v>0</v>
      </c>
      <c r="GM29">
        <f t="shared" si="40"/>
        <v>0</v>
      </c>
      <c r="GN29">
        <f t="shared" si="41"/>
        <v>0</v>
      </c>
      <c r="GO29">
        <f t="shared" si="42"/>
        <v>0</v>
      </c>
      <c r="GP29">
        <f t="shared" si="43"/>
        <v>0</v>
      </c>
      <c r="GR29">
        <v>0</v>
      </c>
      <c r="GS29">
        <v>3</v>
      </c>
      <c r="GT29">
        <v>0</v>
      </c>
      <c r="GU29" t="s">
        <v>3</v>
      </c>
      <c r="GV29">
        <f t="shared" si="44"/>
        <v>0</v>
      </c>
      <c r="GW29">
        <v>1</v>
      </c>
      <c r="GX29">
        <f t="shared" si="45"/>
        <v>0</v>
      </c>
      <c r="HA29">
        <v>0</v>
      </c>
      <c r="HB29">
        <v>0</v>
      </c>
      <c r="HC29">
        <f t="shared" si="46"/>
        <v>0</v>
      </c>
      <c r="HE29" t="s">
        <v>3</v>
      </c>
      <c r="HF29" t="s">
        <v>3</v>
      </c>
      <c r="HM29" t="s">
        <v>3</v>
      </c>
      <c r="HN29" t="s">
        <v>47</v>
      </c>
      <c r="HO29" t="s">
        <v>48</v>
      </c>
      <c r="HP29" t="s">
        <v>49</v>
      </c>
      <c r="HQ29" t="s">
        <v>49</v>
      </c>
      <c r="HS29">
        <v>0</v>
      </c>
      <c r="IF29">
        <v>-1</v>
      </c>
      <c r="IK29">
        <v>0</v>
      </c>
    </row>
    <row r="30" spans="1:255" x14ac:dyDescent="0.2">
      <c r="A30" s="2">
        <v>17</v>
      </c>
      <c r="B30" s="2">
        <v>1</v>
      </c>
      <c r="C30" s="2">
        <f>ROW(SmtRes!A15)</f>
        <v>15</v>
      </c>
      <c r="D30" s="2">
        <f>ROW(EtalonRes!A15)</f>
        <v>15</v>
      </c>
      <c r="E30" s="2" t="s">
        <v>50</v>
      </c>
      <c r="F30" s="2" t="s">
        <v>51</v>
      </c>
      <c r="G30" s="2" t="s">
        <v>52</v>
      </c>
      <c r="H30" s="2" t="s">
        <v>53</v>
      </c>
      <c r="I30" s="2">
        <f>'1.Лок.смета.и.Акт'!E70</f>
        <v>8.4000000000000005E-2</v>
      </c>
      <c r="J30" s="2">
        <v>0</v>
      </c>
      <c r="K30" s="2">
        <v>8.4000000000000005E-2</v>
      </c>
      <c r="L30" s="2"/>
      <c r="M30" s="2"/>
      <c r="N30" s="2"/>
      <c r="O30" s="2">
        <f t="shared" si="14"/>
        <v>48</v>
      </c>
      <c r="P30" s="2">
        <f t="shared" si="15"/>
        <v>0</v>
      </c>
      <c r="Q30" s="2">
        <f t="shared" si="16"/>
        <v>12</v>
      </c>
      <c r="R30" s="2">
        <f t="shared" si="17"/>
        <v>0</v>
      </c>
      <c r="S30" s="2">
        <f t="shared" si="18"/>
        <v>36</v>
      </c>
      <c r="T30" s="2">
        <f t="shared" si="19"/>
        <v>0</v>
      </c>
      <c r="U30" s="2">
        <f t="shared" si="20"/>
        <v>4.0210800000000004</v>
      </c>
      <c r="V30" s="2">
        <f t="shared" si="21"/>
        <v>0</v>
      </c>
      <c r="W30" s="2">
        <f t="shared" si="22"/>
        <v>0</v>
      </c>
      <c r="X30" s="2">
        <f t="shared" si="23"/>
        <v>37</v>
      </c>
      <c r="Y30" s="2">
        <f t="shared" si="24"/>
        <v>21</v>
      </c>
      <c r="Z30" s="2"/>
      <c r="AA30" s="2">
        <v>91261330</v>
      </c>
      <c r="AB30" s="2">
        <f t="shared" si="25"/>
        <v>574.66</v>
      </c>
      <c r="AC30" s="2">
        <f t="shared" si="26"/>
        <v>0</v>
      </c>
      <c r="AD30" s="2">
        <f t="shared" si="47"/>
        <v>141.91999999999999</v>
      </c>
      <c r="AE30" s="2">
        <f t="shared" si="48"/>
        <v>0</v>
      </c>
      <c r="AF30" s="2">
        <f t="shared" si="49"/>
        <v>432.74</v>
      </c>
      <c r="AG30" s="2">
        <f t="shared" si="27"/>
        <v>0</v>
      </c>
      <c r="AH30" s="2">
        <f t="shared" si="50"/>
        <v>47.87</v>
      </c>
      <c r="AI30" s="2">
        <f t="shared" si="51"/>
        <v>0</v>
      </c>
      <c r="AJ30" s="2">
        <f t="shared" si="28"/>
        <v>0</v>
      </c>
      <c r="AK30" s="2">
        <v>574.66</v>
      </c>
      <c r="AL30" s="2">
        <v>0</v>
      </c>
      <c r="AM30" s="2">
        <v>141.91999999999999</v>
      </c>
      <c r="AN30" s="2">
        <v>0</v>
      </c>
      <c r="AO30" s="2">
        <v>432.74</v>
      </c>
      <c r="AP30" s="2">
        <v>0</v>
      </c>
      <c r="AQ30" s="2">
        <v>47.87</v>
      </c>
      <c r="AR30" s="2">
        <v>0</v>
      </c>
      <c r="AS30" s="2">
        <v>0</v>
      </c>
      <c r="AT30" s="2">
        <v>103</v>
      </c>
      <c r="AU30" s="2">
        <v>59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0</v>
      </c>
      <c r="BI30" s="2">
        <v>1</v>
      </c>
      <c r="BJ30" s="2" t="s">
        <v>54</v>
      </c>
      <c r="BK30" s="2"/>
      <c r="BL30" s="2"/>
      <c r="BM30" s="2">
        <v>46001</v>
      </c>
      <c r="BN30" s="2">
        <v>0</v>
      </c>
      <c r="BO30" s="2" t="s">
        <v>3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103</v>
      </c>
      <c r="CA30" s="2">
        <v>59</v>
      </c>
      <c r="CB30" s="2" t="s">
        <v>3</v>
      </c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</v>
      </c>
      <c r="CO30" s="2">
        <v>0</v>
      </c>
      <c r="CP30" s="2">
        <f t="shared" si="29"/>
        <v>48</v>
      </c>
      <c r="CQ30" s="2">
        <f t="shared" si="30"/>
        <v>0</v>
      </c>
      <c r="CR30" s="2">
        <f t="shared" si="52"/>
        <v>141.91999999999999</v>
      </c>
      <c r="CS30" s="2">
        <f t="shared" si="31"/>
        <v>0</v>
      </c>
      <c r="CT30" s="2">
        <f t="shared" si="32"/>
        <v>432.74</v>
      </c>
      <c r="CU30" s="2">
        <f t="shared" si="33"/>
        <v>0</v>
      </c>
      <c r="CV30" s="2">
        <f t="shared" si="34"/>
        <v>47.87</v>
      </c>
      <c r="CW30" s="2">
        <f t="shared" si="35"/>
        <v>0</v>
      </c>
      <c r="CX30" s="2">
        <f t="shared" si="36"/>
        <v>0</v>
      </c>
      <c r="CY30" s="2">
        <f t="shared" si="37"/>
        <v>37.08</v>
      </c>
      <c r="CZ30" s="2">
        <f t="shared" si="38"/>
        <v>21.24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53</v>
      </c>
      <c r="DW30" s="2" t="s">
        <v>53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59670417</v>
      </c>
      <c r="EF30" s="2">
        <v>2</v>
      </c>
      <c r="EG30" s="2" t="s">
        <v>33</v>
      </c>
      <c r="EH30" s="2">
        <v>40</v>
      </c>
      <c r="EI30" s="2" t="s">
        <v>55</v>
      </c>
      <c r="EJ30" s="2">
        <v>1</v>
      </c>
      <c r="EK30" s="2">
        <v>46001</v>
      </c>
      <c r="EL30" s="2" t="s">
        <v>56</v>
      </c>
      <c r="EM30" s="2" t="s">
        <v>57</v>
      </c>
      <c r="EN30" s="2"/>
      <c r="EO30" s="2" t="s">
        <v>3</v>
      </c>
      <c r="EP30" s="2"/>
      <c r="EQ30" s="2">
        <v>0</v>
      </c>
      <c r="ER30" s="2">
        <v>574.66</v>
      </c>
      <c r="ES30" s="2">
        <v>0</v>
      </c>
      <c r="ET30" s="2">
        <v>141.91999999999999</v>
      </c>
      <c r="EU30" s="2">
        <v>0</v>
      </c>
      <c r="EV30" s="2">
        <v>432.74</v>
      </c>
      <c r="EW30" s="2">
        <v>47.87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v>0</v>
      </c>
      <c r="FS30" s="2">
        <v>0</v>
      </c>
      <c r="FT30" s="2"/>
      <c r="FU30" s="2"/>
      <c r="FV30" s="2"/>
      <c r="FW30" s="2"/>
      <c r="FX30" s="2">
        <v>103</v>
      </c>
      <c r="FY30" s="2">
        <v>59</v>
      </c>
      <c r="FZ30" s="2"/>
      <c r="GA30" s="2" t="s">
        <v>3</v>
      </c>
      <c r="GB30" s="2"/>
      <c r="GC30" s="2"/>
      <c r="GD30" s="2">
        <v>1</v>
      </c>
      <c r="GE30" s="2"/>
      <c r="GF30" s="2">
        <v>1120508613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39"/>
        <v>0</v>
      </c>
      <c r="GM30" s="2">
        <f t="shared" si="40"/>
        <v>106</v>
      </c>
      <c r="GN30" s="2">
        <f t="shared" si="41"/>
        <v>106</v>
      </c>
      <c r="GO30" s="2">
        <f t="shared" si="42"/>
        <v>0</v>
      </c>
      <c r="GP30" s="2">
        <f t="shared" si="43"/>
        <v>0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44"/>
        <v>0</v>
      </c>
      <c r="GW30" s="2">
        <v>1</v>
      </c>
      <c r="GX30" s="2">
        <f t="shared" si="45"/>
        <v>0</v>
      </c>
      <c r="GY30" s="2"/>
      <c r="GZ30" s="2"/>
      <c r="HA30" s="2">
        <v>0</v>
      </c>
      <c r="HB30" s="2">
        <v>0</v>
      </c>
      <c r="HC30" s="2">
        <f t="shared" si="46"/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58</v>
      </c>
      <c r="HO30" s="2" t="s">
        <v>59</v>
      </c>
      <c r="HP30" s="2" t="s">
        <v>56</v>
      </c>
      <c r="HQ30" s="2" t="s">
        <v>56</v>
      </c>
      <c r="HR30" s="2"/>
      <c r="HS30" s="2">
        <v>0</v>
      </c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>
        <v>-1</v>
      </c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ROW(SmtRes!A20)</f>
        <v>20</v>
      </c>
      <c r="D31">
        <f>ROW(EtalonRes!A20)</f>
        <v>20</v>
      </c>
      <c r="E31" t="s">
        <v>50</v>
      </c>
      <c r="F31" t="s">
        <v>51</v>
      </c>
      <c r="G31" t="s">
        <v>52</v>
      </c>
      <c r="H31" t="s">
        <v>53</v>
      </c>
      <c r="I31">
        <f>'1.Лок.смета.и.Акт'!E70</f>
        <v>8.4000000000000005E-2</v>
      </c>
      <c r="J31">
        <v>0</v>
      </c>
      <c r="K31">
        <v>8.4000000000000005E-2</v>
      </c>
      <c r="O31">
        <f t="shared" si="14"/>
        <v>0</v>
      </c>
      <c r="P31">
        <f t="shared" si="15"/>
        <v>0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4.0210800000000004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91261331</v>
      </c>
      <c r="AB31">
        <f t="shared" si="25"/>
        <v>0</v>
      </c>
      <c r="AC31">
        <f t="shared" si="26"/>
        <v>0</v>
      </c>
      <c r="AD31">
        <f t="shared" si="47"/>
        <v>0</v>
      </c>
      <c r="AE31">
        <f t="shared" si="48"/>
        <v>0</v>
      </c>
      <c r="AF31">
        <f t="shared" si="49"/>
        <v>0</v>
      </c>
      <c r="AG31">
        <f t="shared" si="27"/>
        <v>0</v>
      </c>
      <c r="AH31">
        <f t="shared" si="50"/>
        <v>47.87</v>
      </c>
      <c r="AI31">
        <f t="shared" si="51"/>
        <v>0</v>
      </c>
      <c r="AJ31">
        <f t="shared" si="28"/>
        <v>0</v>
      </c>
      <c r="AK31">
        <f>AL31+AM31+AO31</f>
        <v>0</v>
      </c>
      <c r="AL31">
        <v>0</v>
      </c>
      <c r="AM31" s="71">
        <f>'1.Лок.смета.и.Акт'!F72</f>
        <v>0</v>
      </c>
      <c r="AN31">
        <v>0</v>
      </c>
      <c r="AO31" s="71">
        <f>'1.Лок.смета.и.Акт'!F71</f>
        <v>0</v>
      </c>
      <c r="AP31">
        <v>0</v>
      </c>
      <c r="AQ31">
        <f>'1.Лок.смета.и.Акт'!E75</f>
        <v>47.87</v>
      </c>
      <c r="AR31">
        <v>0</v>
      </c>
      <c r="AS31">
        <v>0</v>
      </c>
      <c r="AT31">
        <v>103</v>
      </c>
      <c r="AU31">
        <v>59</v>
      </c>
      <c r="AV31">
        <v>1</v>
      </c>
      <c r="AW31">
        <v>1</v>
      </c>
      <c r="AZ31">
        <v>1</v>
      </c>
      <c r="BA31">
        <f>'1.Лок.смета.и.Акт'!J71</f>
        <v>36.99</v>
      </c>
      <c r="BB31">
        <f>'1.Лок.смета.и.Акт'!J72</f>
        <v>13.51</v>
      </c>
      <c r="BC31">
        <v>10.88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54</v>
      </c>
      <c r="BM31">
        <v>46001</v>
      </c>
      <c r="BN31">
        <v>0</v>
      </c>
      <c r="BO31" t="s">
        <v>3</v>
      </c>
      <c r="BP31">
        <v>0</v>
      </c>
      <c r="BQ31">
        <v>2</v>
      </c>
      <c r="BR31">
        <v>0</v>
      </c>
      <c r="BS31">
        <v>36.99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103</v>
      </c>
      <c r="CA31">
        <v>59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9"/>
        <v>0</v>
      </c>
      <c r="CQ31">
        <f t="shared" si="30"/>
        <v>0</v>
      </c>
      <c r="CR31">
        <f t="shared" si="52"/>
        <v>0</v>
      </c>
      <c r="CS31">
        <f t="shared" si="31"/>
        <v>0</v>
      </c>
      <c r="CT31">
        <f t="shared" si="32"/>
        <v>0</v>
      </c>
      <c r="CU31">
        <f t="shared" si="33"/>
        <v>0</v>
      </c>
      <c r="CV31">
        <f t="shared" si="34"/>
        <v>47.87</v>
      </c>
      <c r="CW31">
        <f t="shared" si="35"/>
        <v>0</v>
      </c>
      <c r="CX31">
        <f t="shared" si="36"/>
        <v>0</v>
      </c>
      <c r="CY31">
        <f t="shared" si="37"/>
        <v>0</v>
      </c>
      <c r="CZ31">
        <f t="shared" si="38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53</v>
      </c>
      <c r="DW31" t="str">
        <f>'1.Лок.смета.и.Акт'!D70</f>
        <v>100 м2 поверхности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59670417</v>
      </c>
      <c r="EF31">
        <v>2</v>
      </c>
      <c r="EG31" t="s">
        <v>33</v>
      </c>
      <c r="EH31">
        <v>40</v>
      </c>
      <c r="EI31" t="s">
        <v>55</v>
      </c>
      <c r="EJ31">
        <v>1</v>
      </c>
      <c r="EK31">
        <v>46001</v>
      </c>
      <c r="EL31" t="s">
        <v>56</v>
      </c>
      <c r="EM31" t="s">
        <v>57</v>
      </c>
      <c r="EO31" t="s">
        <v>3</v>
      </c>
      <c r="EQ31">
        <v>0</v>
      </c>
      <c r="ER31">
        <f>ES31+ET31+EV31</f>
        <v>0</v>
      </c>
      <c r="ES31">
        <v>0</v>
      </c>
      <c r="ET31" s="71">
        <f>'1.Лок.смета.и.Акт'!F72</f>
        <v>0</v>
      </c>
      <c r="EU31">
        <v>0</v>
      </c>
      <c r="EV31" s="71">
        <f>'1.Лок.смета.и.Акт'!F71</f>
        <v>0</v>
      </c>
      <c r="EW31">
        <f>'1.Лок.смета.и.Акт'!E75</f>
        <v>47.87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103</v>
      </c>
      <c r="FY31">
        <v>59</v>
      </c>
      <c r="GA31" t="s">
        <v>3</v>
      </c>
      <c r="GD31">
        <v>1</v>
      </c>
      <c r="GF31">
        <v>1120508613</v>
      </c>
      <c r="GG31">
        <v>2</v>
      </c>
      <c r="GH31">
        <v>1</v>
      </c>
      <c r="GI31">
        <v>4</v>
      </c>
      <c r="GJ31">
        <v>0</v>
      </c>
      <c r="GK31">
        <v>0</v>
      </c>
      <c r="GL31">
        <f t="shared" si="39"/>
        <v>0</v>
      </c>
      <c r="GM31">
        <f t="shared" si="40"/>
        <v>0</v>
      </c>
      <c r="GN31">
        <f t="shared" si="41"/>
        <v>0</v>
      </c>
      <c r="GO31">
        <f t="shared" si="42"/>
        <v>0</v>
      </c>
      <c r="GP31">
        <f t="shared" si="43"/>
        <v>0</v>
      </c>
      <c r="GR31">
        <v>0</v>
      </c>
      <c r="GS31">
        <v>3</v>
      </c>
      <c r="GT31">
        <v>0</v>
      </c>
      <c r="GU31" t="s">
        <v>3</v>
      </c>
      <c r="GV31">
        <f t="shared" si="44"/>
        <v>0</v>
      </c>
      <c r="GW31">
        <v>1</v>
      </c>
      <c r="GX31">
        <f t="shared" si="45"/>
        <v>0</v>
      </c>
      <c r="HA31">
        <v>0</v>
      </c>
      <c r="HB31">
        <v>0</v>
      </c>
      <c r="HC31">
        <f t="shared" si="46"/>
        <v>0</v>
      </c>
      <c r="HE31" t="s">
        <v>3</v>
      </c>
      <c r="HF31" t="s">
        <v>3</v>
      </c>
      <c r="HM31" t="s">
        <v>3</v>
      </c>
      <c r="HN31" t="s">
        <v>58</v>
      </c>
      <c r="HO31" t="s">
        <v>59</v>
      </c>
      <c r="HP31" t="s">
        <v>56</v>
      </c>
      <c r="HQ31" t="s">
        <v>56</v>
      </c>
      <c r="HS31">
        <v>0</v>
      </c>
      <c r="IF31">
        <v>-1</v>
      </c>
      <c r="IK31">
        <v>0</v>
      </c>
    </row>
    <row r="32" spans="1:255" x14ac:dyDescent="0.2">
      <c r="A32" s="2">
        <v>18</v>
      </c>
      <c r="B32" s="2">
        <v>1</v>
      </c>
      <c r="C32" s="2">
        <v>13</v>
      </c>
      <c r="D32" s="2"/>
      <c r="E32" s="2" t="s">
        <v>60</v>
      </c>
      <c r="F32" s="2" t="s">
        <v>61</v>
      </c>
      <c r="G32" s="2" t="s">
        <v>62</v>
      </c>
      <c r="H32" s="2" t="s">
        <v>63</v>
      </c>
      <c r="I32" s="2">
        <f>I30*J32</f>
        <v>10</v>
      </c>
      <c r="J32" s="2">
        <v>119.04761904761904</v>
      </c>
      <c r="K32" s="2">
        <v>119.047619</v>
      </c>
      <c r="L32" s="2"/>
      <c r="M32" s="2"/>
      <c r="N32" s="2"/>
      <c r="O32" s="2">
        <f t="shared" si="14"/>
        <v>469</v>
      </c>
      <c r="P32" s="2">
        <f t="shared" si="15"/>
        <v>469</v>
      </c>
      <c r="Q32" s="2">
        <f t="shared" si="16"/>
        <v>0</v>
      </c>
      <c r="R32" s="2">
        <f t="shared" si="17"/>
        <v>0</v>
      </c>
      <c r="S32" s="2">
        <f t="shared" si="18"/>
        <v>0</v>
      </c>
      <c r="T32" s="2">
        <f t="shared" si="19"/>
        <v>0</v>
      </c>
      <c r="U32" s="2">
        <f t="shared" si="20"/>
        <v>0</v>
      </c>
      <c r="V32" s="2">
        <f t="shared" si="21"/>
        <v>0</v>
      </c>
      <c r="W32" s="2">
        <f t="shared" si="22"/>
        <v>0</v>
      </c>
      <c r="X32" s="2">
        <f t="shared" si="23"/>
        <v>0</v>
      </c>
      <c r="Y32" s="2">
        <f t="shared" si="24"/>
        <v>0</v>
      </c>
      <c r="Z32" s="2"/>
      <c r="AA32" s="2">
        <v>91261330</v>
      </c>
      <c r="AB32" s="2">
        <f t="shared" si="25"/>
        <v>46.86</v>
      </c>
      <c r="AC32" s="2">
        <f t="shared" si="26"/>
        <v>46.86</v>
      </c>
      <c r="AD32" s="2">
        <f t="shared" si="47"/>
        <v>0</v>
      </c>
      <c r="AE32" s="2">
        <f t="shared" si="48"/>
        <v>0</v>
      </c>
      <c r="AF32" s="2">
        <f t="shared" si="49"/>
        <v>0</v>
      </c>
      <c r="AG32" s="2">
        <f t="shared" si="27"/>
        <v>0</v>
      </c>
      <c r="AH32" s="2">
        <f t="shared" si="50"/>
        <v>0</v>
      </c>
      <c r="AI32" s="2">
        <f t="shared" si="51"/>
        <v>0</v>
      </c>
      <c r="AJ32" s="2">
        <f t="shared" si="28"/>
        <v>0</v>
      </c>
      <c r="AK32" s="2">
        <v>46.86</v>
      </c>
      <c r="AL32" s="127">
        <f>'1.Лок.смета.и.Акт'!F76</f>
        <v>46.86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3</v>
      </c>
      <c r="BI32" s="2">
        <v>1</v>
      </c>
      <c r="BJ32" s="2" t="s">
        <v>64</v>
      </c>
      <c r="BK32" s="2"/>
      <c r="BL32" s="2"/>
      <c r="BM32" s="2">
        <v>500001</v>
      </c>
      <c r="BN32" s="2">
        <v>0</v>
      </c>
      <c r="BO32" s="2" t="s">
        <v>3</v>
      </c>
      <c r="BP32" s="2">
        <v>0</v>
      </c>
      <c r="BQ32" s="2">
        <v>8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0</v>
      </c>
      <c r="CA32" s="2">
        <v>0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</v>
      </c>
      <c r="CO32" s="2">
        <v>0</v>
      </c>
      <c r="CP32" s="2">
        <f t="shared" si="29"/>
        <v>469</v>
      </c>
      <c r="CQ32" s="2">
        <f t="shared" si="30"/>
        <v>46.86</v>
      </c>
      <c r="CR32" s="2">
        <f t="shared" si="52"/>
        <v>0</v>
      </c>
      <c r="CS32" s="2">
        <f t="shared" si="31"/>
        <v>0</v>
      </c>
      <c r="CT32" s="2">
        <f t="shared" si="32"/>
        <v>0</v>
      </c>
      <c r="CU32" s="2">
        <f t="shared" si="33"/>
        <v>0</v>
      </c>
      <c r="CV32" s="2">
        <f t="shared" si="34"/>
        <v>0</v>
      </c>
      <c r="CW32" s="2">
        <f t="shared" si="35"/>
        <v>0</v>
      </c>
      <c r="CX32" s="2">
        <f t="shared" si="36"/>
        <v>0</v>
      </c>
      <c r="CY32" s="2">
        <f>0</f>
        <v>0</v>
      </c>
      <c r="CZ32" s="2">
        <f>0</f>
        <v>0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1009</v>
      </c>
      <c r="DV32" s="2" t="s">
        <v>63</v>
      </c>
      <c r="DW32" s="2" t="s">
        <v>63</v>
      </c>
      <c r="DX32" s="2">
        <v>1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59670228</v>
      </c>
      <c r="EF32" s="2">
        <v>8</v>
      </c>
      <c r="EG32" s="2" t="s">
        <v>65</v>
      </c>
      <c r="EH32" s="2">
        <v>0</v>
      </c>
      <c r="EI32" s="2" t="s">
        <v>3</v>
      </c>
      <c r="EJ32" s="2">
        <v>1</v>
      </c>
      <c r="EK32" s="2">
        <v>500001</v>
      </c>
      <c r="EL32" s="2" t="s">
        <v>66</v>
      </c>
      <c r="EM32" s="2" t="s">
        <v>67</v>
      </c>
      <c r="EN32" s="2"/>
      <c r="EO32" s="2" t="s">
        <v>3</v>
      </c>
      <c r="EP32" s="2"/>
      <c r="EQ32" s="2">
        <v>0</v>
      </c>
      <c r="ER32" s="2">
        <v>46.86</v>
      </c>
      <c r="ES32" s="127">
        <f>'1.Лок.смета.и.Акт'!F76</f>
        <v>46.86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v>0</v>
      </c>
      <c r="FS32" s="2">
        <v>0</v>
      </c>
      <c r="FT32" s="2"/>
      <c r="FU32" s="2"/>
      <c r="FV32" s="2"/>
      <c r="FW32" s="2"/>
      <c r="FX32" s="2">
        <v>0</v>
      </c>
      <c r="FY32" s="2">
        <v>0</v>
      </c>
      <c r="FZ32" s="2"/>
      <c r="GA32" s="2" t="s">
        <v>3</v>
      </c>
      <c r="GB32" s="2"/>
      <c r="GC32" s="2"/>
      <c r="GD32" s="2">
        <v>1</v>
      </c>
      <c r="GE32" s="2"/>
      <c r="GF32" s="2">
        <v>891480366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39"/>
        <v>0</v>
      </c>
      <c r="GM32" s="2">
        <f t="shared" si="40"/>
        <v>469</v>
      </c>
      <c r="GN32" s="2">
        <f t="shared" si="41"/>
        <v>469</v>
      </c>
      <c r="GO32" s="2">
        <f t="shared" si="42"/>
        <v>0</v>
      </c>
      <c r="GP32" s="2">
        <f t="shared" si="43"/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44"/>
        <v>0</v>
      </c>
      <c r="GW32" s="2">
        <v>1</v>
      </c>
      <c r="GX32" s="2">
        <f t="shared" si="45"/>
        <v>0</v>
      </c>
      <c r="GY32" s="2"/>
      <c r="GZ32" s="2"/>
      <c r="HA32" s="2">
        <v>0</v>
      </c>
      <c r="HB32" s="2">
        <v>0</v>
      </c>
      <c r="HC32" s="2">
        <f t="shared" si="46"/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3</v>
      </c>
      <c r="HO32" s="2" t="s">
        <v>3</v>
      </c>
      <c r="HP32" s="2" t="s">
        <v>3</v>
      </c>
      <c r="HQ32" s="2" t="s">
        <v>3</v>
      </c>
      <c r="HR32" s="2"/>
      <c r="HS32" s="2">
        <v>0</v>
      </c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>
        <v>-1</v>
      </c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18</v>
      </c>
      <c r="B33">
        <v>1</v>
      </c>
      <c r="C33">
        <v>18</v>
      </c>
      <c r="E33" t="s">
        <v>60</v>
      </c>
      <c r="F33" t="str">
        <f>'1.Лок.смета.и.Акт'!B76</f>
        <v>113-0664</v>
      </c>
      <c r="G33" t="s">
        <v>62</v>
      </c>
      <c r="H33" t="s">
        <v>63</v>
      </c>
      <c r="I33">
        <f>I31*J33</f>
        <v>10</v>
      </c>
      <c r="J33">
        <f>'4.Ведомость_списания'!F29</f>
        <v>119.04761904761904</v>
      </c>
      <c r="K33">
        <v>119.047619</v>
      </c>
      <c r="O33">
        <f t="shared" si="14"/>
        <v>1706</v>
      </c>
      <c r="P33">
        <f t="shared" si="15"/>
        <v>1706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0</v>
      </c>
      <c r="X33">
        <f t="shared" si="23"/>
        <v>0</v>
      </c>
      <c r="Y33">
        <f t="shared" si="24"/>
        <v>0</v>
      </c>
      <c r="AA33">
        <v>91261331</v>
      </c>
      <c r="AB33">
        <f t="shared" si="25"/>
        <v>15.68</v>
      </c>
      <c r="AC33">
        <f t="shared" si="26"/>
        <v>15.68</v>
      </c>
      <c r="AD33">
        <f t="shared" si="47"/>
        <v>0</v>
      </c>
      <c r="AE33">
        <f t="shared" si="48"/>
        <v>0</v>
      </c>
      <c r="AF33">
        <f t="shared" si="49"/>
        <v>0</v>
      </c>
      <c r="AG33">
        <f t="shared" si="27"/>
        <v>0</v>
      </c>
      <c r="AH33">
        <f t="shared" si="50"/>
        <v>0</v>
      </c>
      <c r="AI33">
        <f t="shared" si="51"/>
        <v>0</v>
      </c>
      <c r="AJ33">
        <f t="shared" si="28"/>
        <v>0</v>
      </c>
      <c r="AK33">
        <v>15.68</v>
      </c>
      <c r="AL33">
        <v>15.68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10.88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64</v>
      </c>
      <c r="BM33">
        <v>500001</v>
      </c>
      <c r="BN33">
        <v>0</v>
      </c>
      <c r="BO33" t="s">
        <v>3</v>
      </c>
      <c r="BP33">
        <v>0</v>
      </c>
      <c r="BQ33">
        <v>8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9"/>
        <v>1706</v>
      </c>
      <c r="CQ33">
        <f t="shared" si="30"/>
        <v>170.5984</v>
      </c>
      <c r="CR33">
        <f t="shared" si="52"/>
        <v>0</v>
      </c>
      <c r="CS33">
        <f t="shared" si="31"/>
        <v>0</v>
      </c>
      <c r="CT33">
        <f t="shared" si="32"/>
        <v>0</v>
      </c>
      <c r="CU33">
        <f t="shared" si="33"/>
        <v>0</v>
      </c>
      <c r="CV33">
        <f t="shared" si="34"/>
        <v>0</v>
      </c>
      <c r="CW33">
        <f t="shared" si="35"/>
        <v>0</v>
      </c>
      <c r="CX33">
        <f t="shared" si="36"/>
        <v>0</v>
      </c>
      <c r="CY33">
        <f>0</f>
        <v>0</v>
      </c>
      <c r="CZ33">
        <f>0</f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63</v>
      </c>
      <c r="DW33" t="str">
        <f>'1.Лок.смета.и.Акт'!D76</f>
        <v>кг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59670228</v>
      </c>
      <c r="EF33">
        <v>8</v>
      </c>
      <c r="EG33" t="s">
        <v>65</v>
      </c>
      <c r="EH33">
        <v>0</v>
      </c>
      <c r="EI33" t="s">
        <v>3</v>
      </c>
      <c r="EJ33">
        <v>1</v>
      </c>
      <c r="EK33">
        <v>500001</v>
      </c>
      <c r="EL33" t="s">
        <v>66</v>
      </c>
      <c r="EM33" t="s">
        <v>67</v>
      </c>
      <c r="EO33" t="s">
        <v>3</v>
      </c>
      <c r="EQ33">
        <v>0</v>
      </c>
      <c r="ER33">
        <v>15.68</v>
      </c>
      <c r="ES33">
        <v>15.68</v>
      </c>
      <c r="ET33">
        <v>0</v>
      </c>
      <c r="EU33">
        <v>0</v>
      </c>
      <c r="EV33">
        <v>0</v>
      </c>
      <c r="EW33">
        <v>0</v>
      </c>
      <c r="EX33">
        <v>0</v>
      </c>
      <c r="EZ33">
        <v>5</v>
      </c>
      <c r="FC33">
        <v>1</v>
      </c>
      <c r="FD33">
        <v>18</v>
      </c>
      <c r="FF33">
        <v>196.2</v>
      </c>
      <c r="FQ33">
        <v>0</v>
      </c>
      <c r="FR33">
        <v>0</v>
      </c>
      <c r="FS33">
        <v>0</v>
      </c>
      <c r="FX33">
        <v>0</v>
      </c>
      <c r="FY33">
        <v>0</v>
      </c>
      <c r="GA33" t="s">
        <v>68</v>
      </c>
      <c r="GD33">
        <v>1</v>
      </c>
      <c r="GF33">
        <v>891480366</v>
      </c>
      <c r="GG33">
        <v>2</v>
      </c>
      <c r="GH33">
        <v>3</v>
      </c>
      <c r="GI33">
        <v>4</v>
      </c>
      <c r="GJ33">
        <v>0</v>
      </c>
      <c r="GK33">
        <v>0</v>
      </c>
      <c r="GL33">
        <f t="shared" si="39"/>
        <v>0</v>
      </c>
      <c r="GM33">
        <f t="shared" si="40"/>
        <v>1706</v>
      </c>
      <c r="GN33">
        <f t="shared" si="41"/>
        <v>1706</v>
      </c>
      <c r="GO33">
        <f t="shared" si="42"/>
        <v>0</v>
      </c>
      <c r="GP33">
        <f t="shared" si="43"/>
        <v>0</v>
      </c>
      <c r="GR33">
        <v>1</v>
      </c>
      <c r="GS33">
        <v>1</v>
      </c>
      <c r="GT33">
        <v>0</v>
      </c>
      <c r="GU33" t="s">
        <v>3</v>
      </c>
      <c r="GV33">
        <f t="shared" si="44"/>
        <v>0</v>
      </c>
      <c r="GW33">
        <v>1</v>
      </c>
      <c r="GX33">
        <f t="shared" si="45"/>
        <v>0</v>
      </c>
      <c r="HA33">
        <v>0</v>
      </c>
      <c r="HB33">
        <v>0</v>
      </c>
      <c r="HC33">
        <f t="shared" si="46"/>
        <v>0</v>
      </c>
      <c r="HE33" t="s">
        <v>50</v>
      </c>
      <c r="HF33" t="s">
        <v>26</v>
      </c>
      <c r="HM33" t="s">
        <v>3</v>
      </c>
      <c r="HN33" t="s">
        <v>3</v>
      </c>
      <c r="HO33" t="s">
        <v>3</v>
      </c>
      <c r="HP33" t="s">
        <v>3</v>
      </c>
      <c r="HQ33" t="s">
        <v>3</v>
      </c>
      <c r="HS33">
        <v>0</v>
      </c>
      <c r="IF33">
        <v>-1</v>
      </c>
      <c r="IK33">
        <v>0</v>
      </c>
    </row>
    <row r="34" spans="1:255" x14ac:dyDescent="0.2">
      <c r="A34" s="2">
        <v>18</v>
      </c>
      <c r="B34" s="2">
        <v>1</v>
      </c>
      <c r="C34" s="2">
        <v>14</v>
      </c>
      <c r="D34" s="2"/>
      <c r="E34" s="2" t="s">
        <v>69</v>
      </c>
      <c r="F34" s="2" t="s">
        <v>70</v>
      </c>
      <c r="G34" s="2" t="s">
        <v>71</v>
      </c>
      <c r="H34" s="2" t="s">
        <v>63</v>
      </c>
      <c r="I34" s="2">
        <f>I30*J34</f>
        <v>26.879999999999995</v>
      </c>
      <c r="J34" s="2">
        <v>319.99999999999994</v>
      </c>
      <c r="K34" s="2">
        <v>320</v>
      </c>
      <c r="L34" s="2"/>
      <c r="M34" s="2"/>
      <c r="N34" s="2"/>
      <c r="O34" s="2">
        <f t="shared" si="14"/>
        <v>0</v>
      </c>
      <c r="P34" s="2">
        <f t="shared" si="15"/>
        <v>0</v>
      </c>
      <c r="Q34" s="2">
        <f t="shared" si="16"/>
        <v>0</v>
      </c>
      <c r="R34" s="2">
        <f t="shared" si="17"/>
        <v>0</v>
      </c>
      <c r="S34" s="2">
        <f t="shared" si="18"/>
        <v>0</v>
      </c>
      <c r="T34" s="2">
        <f t="shared" si="19"/>
        <v>0</v>
      </c>
      <c r="U34" s="2">
        <f t="shared" si="20"/>
        <v>0</v>
      </c>
      <c r="V34" s="2">
        <f t="shared" si="21"/>
        <v>0</v>
      </c>
      <c r="W34" s="2">
        <f t="shared" si="22"/>
        <v>0</v>
      </c>
      <c r="X34" s="2">
        <f t="shared" si="23"/>
        <v>0</v>
      </c>
      <c r="Y34" s="2">
        <f t="shared" si="24"/>
        <v>0</v>
      </c>
      <c r="Z34" s="2"/>
      <c r="AA34" s="2">
        <v>91261330</v>
      </c>
      <c r="AB34" s="2">
        <f t="shared" si="25"/>
        <v>0</v>
      </c>
      <c r="AC34" s="2">
        <f t="shared" si="26"/>
        <v>0</v>
      </c>
      <c r="AD34" s="2">
        <f t="shared" si="47"/>
        <v>0</v>
      </c>
      <c r="AE34" s="2">
        <f t="shared" si="48"/>
        <v>0</v>
      </c>
      <c r="AF34" s="2">
        <f t="shared" si="49"/>
        <v>0</v>
      </c>
      <c r="AG34" s="2">
        <f t="shared" si="27"/>
        <v>0</v>
      </c>
      <c r="AH34" s="2">
        <f t="shared" si="50"/>
        <v>0</v>
      </c>
      <c r="AI34" s="2">
        <f t="shared" si="51"/>
        <v>0</v>
      </c>
      <c r="AJ34" s="2">
        <f t="shared" si="28"/>
        <v>0</v>
      </c>
      <c r="AK34" s="2">
        <v>0</v>
      </c>
      <c r="AL34" s="127">
        <f>'1.Лок.смета.и.Акт'!F78</f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3</v>
      </c>
      <c r="BI34" s="2">
        <v>1</v>
      </c>
      <c r="BJ34" s="2" t="s">
        <v>72</v>
      </c>
      <c r="BK34" s="2"/>
      <c r="BL34" s="2"/>
      <c r="BM34" s="2">
        <v>500001</v>
      </c>
      <c r="BN34" s="2">
        <v>0</v>
      </c>
      <c r="BO34" s="2" t="s">
        <v>3</v>
      </c>
      <c r="BP34" s="2">
        <v>0</v>
      </c>
      <c r="BQ34" s="2">
        <v>8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0</v>
      </c>
      <c r="CA34" s="2">
        <v>0</v>
      </c>
      <c r="CB34" s="2" t="s">
        <v>3</v>
      </c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3</v>
      </c>
      <c r="CO34" s="2">
        <v>0</v>
      </c>
      <c r="CP34" s="2">
        <f t="shared" si="29"/>
        <v>0</v>
      </c>
      <c r="CQ34" s="2">
        <f t="shared" si="30"/>
        <v>0</v>
      </c>
      <c r="CR34" s="2">
        <f t="shared" si="52"/>
        <v>0</v>
      </c>
      <c r="CS34" s="2">
        <f t="shared" si="31"/>
        <v>0</v>
      </c>
      <c r="CT34" s="2">
        <f t="shared" si="32"/>
        <v>0</v>
      </c>
      <c r="CU34" s="2">
        <f t="shared" si="33"/>
        <v>0</v>
      </c>
      <c r="CV34" s="2">
        <f t="shared" si="34"/>
        <v>0</v>
      </c>
      <c r="CW34" s="2">
        <f t="shared" si="35"/>
        <v>0</v>
      </c>
      <c r="CX34" s="2">
        <f t="shared" si="36"/>
        <v>0</v>
      </c>
      <c r="CY34" s="2">
        <f>0</f>
        <v>0</v>
      </c>
      <c r="CZ34" s="2">
        <f>0</f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1009</v>
      </c>
      <c r="DV34" s="2" t="s">
        <v>63</v>
      </c>
      <c r="DW34" s="2" t="s">
        <v>63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59670228</v>
      </c>
      <c r="EF34" s="2">
        <v>8</v>
      </c>
      <c r="EG34" s="2" t="s">
        <v>65</v>
      </c>
      <c r="EH34" s="2">
        <v>0</v>
      </c>
      <c r="EI34" s="2" t="s">
        <v>3</v>
      </c>
      <c r="EJ34" s="2">
        <v>1</v>
      </c>
      <c r="EK34" s="2">
        <v>500001</v>
      </c>
      <c r="EL34" s="2" t="s">
        <v>66</v>
      </c>
      <c r="EM34" s="2" t="s">
        <v>67</v>
      </c>
      <c r="EN34" s="2"/>
      <c r="EO34" s="2" t="s">
        <v>3</v>
      </c>
      <c r="EP34" s="2"/>
      <c r="EQ34" s="2">
        <v>0</v>
      </c>
      <c r="ER34" s="2">
        <v>0</v>
      </c>
      <c r="ES34" s="127">
        <f>'1.Лок.смета.и.Акт'!F78</f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v>0</v>
      </c>
      <c r="FS34" s="2">
        <v>0</v>
      </c>
      <c r="FT34" s="2"/>
      <c r="FU34" s="2"/>
      <c r="FV34" s="2"/>
      <c r="FW34" s="2"/>
      <c r="FX34" s="2">
        <v>0</v>
      </c>
      <c r="FY34" s="2">
        <v>0</v>
      </c>
      <c r="FZ34" s="2"/>
      <c r="GA34" s="2" t="s">
        <v>3</v>
      </c>
      <c r="GB34" s="2"/>
      <c r="GC34" s="2"/>
      <c r="GD34" s="2">
        <v>1</v>
      </c>
      <c r="GE34" s="2"/>
      <c r="GF34" s="2">
        <v>-972204698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39"/>
        <v>0</v>
      </c>
      <c r="GM34" s="2">
        <f t="shared" si="40"/>
        <v>0</v>
      </c>
      <c r="GN34" s="2">
        <f t="shared" si="41"/>
        <v>0</v>
      </c>
      <c r="GO34" s="2">
        <f t="shared" si="42"/>
        <v>0</v>
      </c>
      <c r="GP34" s="2">
        <f t="shared" si="43"/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44"/>
        <v>0</v>
      </c>
      <c r="GW34" s="2">
        <v>1</v>
      </c>
      <c r="GX34" s="2">
        <f t="shared" si="45"/>
        <v>0</v>
      </c>
      <c r="GY34" s="2"/>
      <c r="GZ34" s="2"/>
      <c r="HA34" s="2">
        <v>0</v>
      </c>
      <c r="HB34" s="2">
        <v>0</v>
      </c>
      <c r="HC34" s="2">
        <f t="shared" si="46"/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3</v>
      </c>
      <c r="HO34" s="2" t="s">
        <v>3</v>
      </c>
      <c r="HP34" s="2" t="s">
        <v>3</v>
      </c>
      <c r="HQ34" s="2" t="s">
        <v>3</v>
      </c>
      <c r="HR34" s="2"/>
      <c r="HS34" s="2">
        <v>0</v>
      </c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>
        <v>-1</v>
      </c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18</v>
      </c>
      <c r="B35">
        <v>1</v>
      </c>
      <c r="C35">
        <v>19</v>
      </c>
      <c r="E35" t="s">
        <v>69</v>
      </c>
      <c r="F35" t="str">
        <f>'1.Лок.смета.и.Акт'!B78</f>
        <v>401-9005</v>
      </c>
      <c r="G35" t="s">
        <v>71</v>
      </c>
      <c r="H35" t="s">
        <v>63</v>
      </c>
      <c r="I35">
        <f>I31*J35</f>
        <v>26.879999999999995</v>
      </c>
      <c r="J35">
        <f>'4.Ведомость_списания'!F30</f>
        <v>319.99999999999994</v>
      </c>
      <c r="K35">
        <v>320</v>
      </c>
      <c r="O35">
        <f t="shared" si="14"/>
        <v>1986</v>
      </c>
      <c r="P35">
        <f t="shared" si="15"/>
        <v>1986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</v>
      </c>
      <c r="X35">
        <f t="shared" si="23"/>
        <v>0</v>
      </c>
      <c r="Y35">
        <f t="shared" si="24"/>
        <v>0</v>
      </c>
      <c r="AA35">
        <v>91261331</v>
      </c>
      <c r="AB35">
        <f t="shared" si="25"/>
        <v>6.79</v>
      </c>
      <c r="AC35">
        <f t="shared" si="26"/>
        <v>6.79</v>
      </c>
      <c r="AD35">
        <f t="shared" si="47"/>
        <v>0</v>
      </c>
      <c r="AE35">
        <f t="shared" si="48"/>
        <v>0</v>
      </c>
      <c r="AF35">
        <f t="shared" si="49"/>
        <v>0</v>
      </c>
      <c r="AG35">
        <f t="shared" si="27"/>
        <v>0</v>
      </c>
      <c r="AH35">
        <f t="shared" si="50"/>
        <v>0</v>
      </c>
      <c r="AI35">
        <f t="shared" si="51"/>
        <v>0</v>
      </c>
      <c r="AJ35">
        <f t="shared" si="28"/>
        <v>0</v>
      </c>
      <c r="AK35">
        <v>6.79</v>
      </c>
      <c r="AL35">
        <v>6.79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10.88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72</v>
      </c>
      <c r="BM35">
        <v>500001</v>
      </c>
      <c r="BN35">
        <v>0</v>
      </c>
      <c r="BO35" t="s">
        <v>3</v>
      </c>
      <c r="BP35">
        <v>0</v>
      </c>
      <c r="BQ35">
        <v>8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29"/>
        <v>1986</v>
      </c>
      <c r="CQ35">
        <f t="shared" si="30"/>
        <v>73.875200000000007</v>
      </c>
      <c r="CR35">
        <f t="shared" si="52"/>
        <v>0</v>
      </c>
      <c r="CS35">
        <f t="shared" si="31"/>
        <v>0</v>
      </c>
      <c r="CT35">
        <f t="shared" si="32"/>
        <v>0</v>
      </c>
      <c r="CU35">
        <f t="shared" si="33"/>
        <v>0</v>
      </c>
      <c r="CV35">
        <f t="shared" si="34"/>
        <v>0</v>
      </c>
      <c r="CW35">
        <f t="shared" si="35"/>
        <v>0</v>
      </c>
      <c r="CX35">
        <f t="shared" si="36"/>
        <v>0</v>
      </c>
      <c r="CY35">
        <f>0</f>
        <v>0</v>
      </c>
      <c r="CZ35">
        <f>0</f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1009</v>
      </c>
      <c r="DV35" t="s">
        <v>63</v>
      </c>
      <c r="DW35" t="str">
        <f>'1.Лок.смета.и.Акт'!D78</f>
        <v>кг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59670228</v>
      </c>
      <c r="EF35">
        <v>8</v>
      </c>
      <c r="EG35" t="s">
        <v>65</v>
      </c>
      <c r="EH35">
        <v>0</v>
      </c>
      <c r="EI35" t="s">
        <v>3</v>
      </c>
      <c r="EJ35">
        <v>1</v>
      </c>
      <c r="EK35">
        <v>500001</v>
      </c>
      <c r="EL35" t="s">
        <v>66</v>
      </c>
      <c r="EM35" t="s">
        <v>67</v>
      </c>
      <c r="EO35" t="s">
        <v>3</v>
      </c>
      <c r="EQ35">
        <v>0</v>
      </c>
      <c r="ER35">
        <v>6.79</v>
      </c>
      <c r="ES35">
        <v>6.79</v>
      </c>
      <c r="ET35">
        <v>0</v>
      </c>
      <c r="EU35">
        <v>0</v>
      </c>
      <c r="EV35">
        <v>0</v>
      </c>
      <c r="EW35">
        <v>0</v>
      </c>
      <c r="EX35">
        <v>0</v>
      </c>
      <c r="EZ35">
        <v>5</v>
      </c>
      <c r="FC35">
        <v>1</v>
      </c>
      <c r="FD35">
        <v>18</v>
      </c>
      <c r="FF35">
        <v>85</v>
      </c>
      <c r="FQ35">
        <v>0</v>
      </c>
      <c r="FR35">
        <v>0</v>
      </c>
      <c r="FS35">
        <v>0</v>
      </c>
      <c r="FX35">
        <v>0</v>
      </c>
      <c r="FY35">
        <v>0</v>
      </c>
      <c r="GA35" t="s">
        <v>73</v>
      </c>
      <c r="GD35">
        <v>1</v>
      </c>
      <c r="GF35">
        <v>-972204698</v>
      </c>
      <c r="GG35">
        <v>2</v>
      </c>
      <c r="GH35">
        <v>3</v>
      </c>
      <c r="GI35">
        <v>4</v>
      </c>
      <c r="GJ35">
        <v>0</v>
      </c>
      <c r="GK35">
        <v>0</v>
      </c>
      <c r="GL35">
        <f t="shared" si="39"/>
        <v>0</v>
      </c>
      <c r="GM35">
        <f t="shared" si="40"/>
        <v>1986</v>
      </c>
      <c r="GN35">
        <f t="shared" si="41"/>
        <v>1986</v>
      </c>
      <c r="GO35">
        <f t="shared" si="42"/>
        <v>0</v>
      </c>
      <c r="GP35">
        <f t="shared" si="43"/>
        <v>0</v>
      </c>
      <c r="GR35">
        <v>1</v>
      </c>
      <c r="GS35">
        <v>1</v>
      </c>
      <c r="GT35">
        <v>0</v>
      </c>
      <c r="GU35" t="s">
        <v>3</v>
      </c>
      <c r="GV35">
        <f t="shared" si="44"/>
        <v>0</v>
      </c>
      <c r="GW35">
        <v>1</v>
      </c>
      <c r="GX35">
        <f t="shared" si="45"/>
        <v>0</v>
      </c>
      <c r="HA35">
        <v>0</v>
      </c>
      <c r="HB35">
        <v>0</v>
      </c>
      <c r="HC35">
        <f t="shared" si="46"/>
        <v>0</v>
      </c>
      <c r="HE35" t="s">
        <v>50</v>
      </c>
      <c r="HF35" t="s">
        <v>26</v>
      </c>
      <c r="HM35" t="s">
        <v>3</v>
      </c>
      <c r="HN35" t="s">
        <v>3</v>
      </c>
      <c r="HO35" t="s">
        <v>3</v>
      </c>
      <c r="HP35" t="s">
        <v>3</v>
      </c>
      <c r="HQ35" t="s">
        <v>3</v>
      </c>
      <c r="HS35">
        <v>0</v>
      </c>
      <c r="IF35">
        <v>-1</v>
      </c>
      <c r="IK35">
        <v>0</v>
      </c>
    </row>
    <row r="36" spans="1:255" x14ac:dyDescent="0.2">
      <c r="A36" s="2">
        <v>18</v>
      </c>
      <c r="B36" s="2">
        <v>1</v>
      </c>
      <c r="C36" s="2">
        <v>15</v>
      </c>
      <c r="D36" s="2"/>
      <c r="E36" s="2" t="s">
        <v>74</v>
      </c>
      <c r="F36" s="2" t="s">
        <v>75</v>
      </c>
      <c r="G36" s="2" t="s">
        <v>76</v>
      </c>
      <c r="H36" s="2" t="s">
        <v>77</v>
      </c>
      <c r="I36" s="2">
        <f>I30*J36</f>
        <v>2.8E-3</v>
      </c>
      <c r="J36" s="2">
        <v>3.3333333333333333E-2</v>
      </c>
      <c r="K36" s="2">
        <v>3.3333000000000002E-2</v>
      </c>
      <c r="L36" s="2"/>
      <c r="M36" s="2"/>
      <c r="N36" s="2"/>
      <c r="O36" s="2">
        <f t="shared" si="14"/>
        <v>0</v>
      </c>
      <c r="P36" s="2">
        <f t="shared" si="15"/>
        <v>0</v>
      </c>
      <c r="Q36" s="2">
        <f t="shared" si="16"/>
        <v>0</v>
      </c>
      <c r="R36" s="2">
        <f t="shared" si="17"/>
        <v>0</v>
      </c>
      <c r="S36" s="2">
        <f t="shared" si="18"/>
        <v>0</v>
      </c>
      <c r="T36" s="2">
        <f t="shared" si="19"/>
        <v>0</v>
      </c>
      <c r="U36" s="2">
        <f t="shared" si="20"/>
        <v>0</v>
      </c>
      <c r="V36" s="2">
        <f t="shared" si="21"/>
        <v>0</v>
      </c>
      <c r="W36" s="2">
        <f t="shared" si="22"/>
        <v>0</v>
      </c>
      <c r="X36" s="2">
        <f t="shared" si="23"/>
        <v>0</v>
      </c>
      <c r="Y36" s="2">
        <f t="shared" si="24"/>
        <v>0</v>
      </c>
      <c r="Z36" s="2"/>
      <c r="AA36" s="2">
        <v>91261330</v>
      </c>
      <c r="AB36" s="2">
        <f t="shared" si="25"/>
        <v>7.14</v>
      </c>
      <c r="AC36" s="2">
        <f t="shared" si="26"/>
        <v>7.14</v>
      </c>
      <c r="AD36" s="2">
        <f t="shared" si="47"/>
        <v>0</v>
      </c>
      <c r="AE36" s="2">
        <f t="shared" si="48"/>
        <v>0</v>
      </c>
      <c r="AF36" s="2">
        <f t="shared" si="49"/>
        <v>0</v>
      </c>
      <c r="AG36" s="2">
        <f t="shared" si="27"/>
        <v>0</v>
      </c>
      <c r="AH36" s="2">
        <f t="shared" si="50"/>
        <v>0</v>
      </c>
      <c r="AI36" s="2">
        <f t="shared" si="51"/>
        <v>0</v>
      </c>
      <c r="AJ36" s="2">
        <f t="shared" si="28"/>
        <v>0</v>
      </c>
      <c r="AK36" s="2">
        <v>7.14</v>
      </c>
      <c r="AL36" s="127">
        <f>'1.Лок.смета.и.Акт'!F80</f>
        <v>7.14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3</v>
      </c>
      <c r="BI36" s="2">
        <v>1</v>
      </c>
      <c r="BJ36" s="2" t="s">
        <v>78</v>
      </c>
      <c r="BK36" s="2"/>
      <c r="BL36" s="2"/>
      <c r="BM36" s="2">
        <v>500001</v>
      </c>
      <c r="BN36" s="2">
        <v>0</v>
      </c>
      <c r="BO36" s="2" t="s">
        <v>3</v>
      </c>
      <c r="BP36" s="2">
        <v>0</v>
      </c>
      <c r="BQ36" s="2">
        <v>8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0</v>
      </c>
      <c r="CA36" s="2">
        <v>0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</v>
      </c>
      <c r="CO36" s="2">
        <v>0</v>
      </c>
      <c r="CP36" s="2">
        <f t="shared" si="29"/>
        <v>0</v>
      </c>
      <c r="CQ36" s="2">
        <f t="shared" si="30"/>
        <v>7.14</v>
      </c>
      <c r="CR36" s="2">
        <f t="shared" si="52"/>
        <v>0</v>
      </c>
      <c r="CS36" s="2">
        <f t="shared" si="31"/>
        <v>0</v>
      </c>
      <c r="CT36" s="2">
        <f t="shared" si="32"/>
        <v>0</v>
      </c>
      <c r="CU36" s="2">
        <f t="shared" si="33"/>
        <v>0</v>
      </c>
      <c r="CV36" s="2">
        <f t="shared" si="34"/>
        <v>0</v>
      </c>
      <c r="CW36" s="2">
        <f t="shared" si="35"/>
        <v>0</v>
      </c>
      <c r="CX36" s="2">
        <f t="shared" si="36"/>
        <v>0</v>
      </c>
      <c r="CY36" s="2">
        <f>0</f>
        <v>0</v>
      </c>
      <c r="CZ36" s="2">
        <f>0</f>
        <v>0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1007</v>
      </c>
      <c r="DV36" s="2" t="s">
        <v>77</v>
      </c>
      <c r="DW36" s="2" t="s">
        <v>77</v>
      </c>
      <c r="DX36" s="2">
        <v>1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59670228</v>
      </c>
      <c r="EF36" s="2">
        <v>8</v>
      </c>
      <c r="EG36" s="2" t="s">
        <v>65</v>
      </c>
      <c r="EH36" s="2">
        <v>0</v>
      </c>
      <c r="EI36" s="2" t="s">
        <v>3</v>
      </c>
      <c r="EJ36" s="2">
        <v>1</v>
      </c>
      <c r="EK36" s="2">
        <v>500001</v>
      </c>
      <c r="EL36" s="2" t="s">
        <v>66</v>
      </c>
      <c r="EM36" s="2" t="s">
        <v>67</v>
      </c>
      <c r="EN36" s="2"/>
      <c r="EO36" s="2" t="s">
        <v>3</v>
      </c>
      <c r="EP36" s="2"/>
      <c r="EQ36" s="2">
        <v>0</v>
      </c>
      <c r="ER36" s="2">
        <v>7.14</v>
      </c>
      <c r="ES36" s="127">
        <f>'1.Лок.смета.и.Акт'!F80</f>
        <v>7.14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v>0</v>
      </c>
      <c r="FS36" s="2">
        <v>0</v>
      </c>
      <c r="FT36" s="2"/>
      <c r="FU36" s="2"/>
      <c r="FV36" s="2"/>
      <c r="FW36" s="2"/>
      <c r="FX36" s="2">
        <v>0</v>
      </c>
      <c r="FY36" s="2">
        <v>0</v>
      </c>
      <c r="FZ36" s="2"/>
      <c r="GA36" s="2" t="s">
        <v>3</v>
      </c>
      <c r="GB36" s="2"/>
      <c r="GC36" s="2"/>
      <c r="GD36" s="2">
        <v>1</v>
      </c>
      <c r="GE36" s="2"/>
      <c r="GF36" s="2">
        <v>-50505369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39"/>
        <v>0</v>
      </c>
      <c r="GM36" s="2">
        <f t="shared" si="40"/>
        <v>0</v>
      </c>
      <c r="GN36" s="2">
        <f t="shared" si="41"/>
        <v>0</v>
      </c>
      <c r="GO36" s="2">
        <f t="shared" si="42"/>
        <v>0</v>
      </c>
      <c r="GP36" s="2">
        <f t="shared" si="43"/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44"/>
        <v>0</v>
      </c>
      <c r="GW36" s="2">
        <v>1</v>
      </c>
      <c r="GX36" s="2">
        <f t="shared" si="45"/>
        <v>0</v>
      </c>
      <c r="GY36" s="2"/>
      <c r="GZ36" s="2"/>
      <c r="HA36" s="2">
        <v>0</v>
      </c>
      <c r="HB36" s="2">
        <v>0</v>
      </c>
      <c r="HC36" s="2">
        <f t="shared" si="46"/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3</v>
      </c>
      <c r="HO36" s="2" t="s">
        <v>3</v>
      </c>
      <c r="HP36" s="2" t="s">
        <v>3</v>
      </c>
      <c r="HQ36" s="2" t="s">
        <v>3</v>
      </c>
      <c r="HR36" s="2"/>
      <c r="HS36" s="2">
        <v>0</v>
      </c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>
        <v>-1</v>
      </c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18</v>
      </c>
      <c r="B37">
        <v>1</v>
      </c>
      <c r="C37">
        <v>20</v>
      </c>
      <c r="E37" t="s">
        <v>74</v>
      </c>
      <c r="F37" t="str">
        <f>'1.Лок.смета.и.Акт'!B80</f>
        <v>411-0001</v>
      </c>
      <c r="G37" t="s">
        <v>76</v>
      </c>
      <c r="H37" t="s">
        <v>77</v>
      </c>
      <c r="I37">
        <f>I31*J37</f>
        <v>2.8E-3</v>
      </c>
      <c r="J37">
        <f>'4.Ведомость_списания'!F31</f>
        <v>3.3333333333333333E-2</v>
      </c>
      <c r="K37">
        <v>3.3333000000000002E-2</v>
      </c>
      <c r="O37">
        <f t="shared" si="14"/>
        <v>0</v>
      </c>
      <c r="P37">
        <f t="shared" si="15"/>
        <v>0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91261331</v>
      </c>
      <c r="AB37">
        <f t="shared" si="25"/>
        <v>1.38</v>
      </c>
      <c r="AC37">
        <f t="shared" si="26"/>
        <v>1.38</v>
      </c>
      <c r="AD37">
        <f t="shared" si="47"/>
        <v>0</v>
      </c>
      <c r="AE37">
        <f t="shared" si="48"/>
        <v>0</v>
      </c>
      <c r="AF37">
        <f t="shared" si="49"/>
        <v>0</v>
      </c>
      <c r="AG37">
        <f t="shared" si="27"/>
        <v>0</v>
      </c>
      <c r="AH37">
        <f t="shared" si="50"/>
        <v>0</v>
      </c>
      <c r="AI37">
        <f t="shared" si="51"/>
        <v>0</v>
      </c>
      <c r="AJ37">
        <f t="shared" si="28"/>
        <v>0</v>
      </c>
      <c r="AK37">
        <v>1.3800000000000001</v>
      </c>
      <c r="AL37">
        <v>1.3800000000000001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10.88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78</v>
      </c>
      <c r="BM37">
        <v>500001</v>
      </c>
      <c r="BN37">
        <v>0</v>
      </c>
      <c r="BO37" t="s">
        <v>3</v>
      </c>
      <c r="BP37">
        <v>0</v>
      </c>
      <c r="BQ37">
        <v>8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9"/>
        <v>0</v>
      </c>
      <c r="CQ37">
        <f t="shared" si="30"/>
        <v>15.0144</v>
      </c>
      <c r="CR37">
        <f t="shared" si="52"/>
        <v>0</v>
      </c>
      <c r="CS37">
        <f t="shared" si="31"/>
        <v>0</v>
      </c>
      <c r="CT37">
        <f t="shared" si="32"/>
        <v>0</v>
      </c>
      <c r="CU37">
        <f t="shared" si="33"/>
        <v>0</v>
      </c>
      <c r="CV37">
        <f t="shared" si="34"/>
        <v>0</v>
      </c>
      <c r="CW37">
        <f t="shared" si="35"/>
        <v>0</v>
      </c>
      <c r="CX37">
        <f t="shared" si="36"/>
        <v>0</v>
      </c>
      <c r="CY37">
        <f>0</f>
        <v>0</v>
      </c>
      <c r="CZ37">
        <f>0</f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1007</v>
      </c>
      <c r="DV37" t="s">
        <v>77</v>
      </c>
      <c r="DW37" t="str">
        <f>'1.Лок.смета.и.Акт'!D80</f>
        <v>м3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59670228</v>
      </c>
      <c r="EF37">
        <v>8</v>
      </c>
      <c r="EG37" t="s">
        <v>65</v>
      </c>
      <c r="EH37">
        <v>0</v>
      </c>
      <c r="EI37" t="s">
        <v>3</v>
      </c>
      <c r="EJ37">
        <v>1</v>
      </c>
      <c r="EK37">
        <v>500001</v>
      </c>
      <c r="EL37" t="s">
        <v>66</v>
      </c>
      <c r="EM37" t="s">
        <v>67</v>
      </c>
      <c r="EO37" t="s">
        <v>3</v>
      </c>
      <c r="EQ37">
        <v>0</v>
      </c>
      <c r="ER37">
        <v>1.3800000000000001</v>
      </c>
      <c r="ES37">
        <v>1.3800000000000001</v>
      </c>
      <c r="ET37">
        <v>0</v>
      </c>
      <c r="EU37">
        <v>0</v>
      </c>
      <c r="EV37">
        <v>0</v>
      </c>
      <c r="EW37">
        <v>0</v>
      </c>
      <c r="EX37">
        <v>0</v>
      </c>
      <c r="EZ37">
        <v>5</v>
      </c>
      <c r="FC37">
        <v>0</v>
      </c>
      <c r="FD37">
        <v>18</v>
      </c>
      <c r="FF37">
        <v>14.19</v>
      </c>
      <c r="FQ37">
        <v>0</v>
      </c>
      <c r="FR37">
        <v>0</v>
      </c>
      <c r="FS37">
        <v>0</v>
      </c>
      <c r="FX37">
        <v>0</v>
      </c>
      <c r="FY37">
        <v>0</v>
      </c>
      <c r="GA37" t="s">
        <v>79</v>
      </c>
      <c r="GD37">
        <v>1</v>
      </c>
      <c r="GF37">
        <v>-50505369</v>
      </c>
      <c r="GG37">
        <v>2</v>
      </c>
      <c r="GH37">
        <v>3</v>
      </c>
      <c r="GI37">
        <v>4</v>
      </c>
      <c r="GJ37">
        <v>0</v>
      </c>
      <c r="GK37">
        <v>0</v>
      </c>
      <c r="GL37">
        <f t="shared" si="39"/>
        <v>0</v>
      </c>
      <c r="GM37">
        <f t="shared" si="40"/>
        <v>0</v>
      </c>
      <c r="GN37">
        <f t="shared" si="41"/>
        <v>0</v>
      </c>
      <c r="GO37">
        <f t="shared" si="42"/>
        <v>0</v>
      </c>
      <c r="GP37">
        <f t="shared" si="43"/>
        <v>0</v>
      </c>
      <c r="GR37">
        <v>1</v>
      </c>
      <c r="GS37">
        <v>1</v>
      </c>
      <c r="GT37">
        <v>0</v>
      </c>
      <c r="GU37" t="s">
        <v>3</v>
      </c>
      <c r="GV37">
        <f t="shared" si="44"/>
        <v>0</v>
      </c>
      <c r="GW37">
        <v>1</v>
      </c>
      <c r="GX37">
        <f t="shared" si="45"/>
        <v>0</v>
      </c>
      <c r="HA37">
        <v>0</v>
      </c>
      <c r="HB37">
        <v>0</v>
      </c>
      <c r="HC37">
        <f t="shared" si="46"/>
        <v>0</v>
      </c>
      <c r="HE37" t="s">
        <v>50</v>
      </c>
      <c r="HF37" t="s">
        <v>26</v>
      </c>
      <c r="HM37" t="s">
        <v>3</v>
      </c>
      <c r="HN37" t="s">
        <v>3</v>
      </c>
      <c r="HO37" t="s">
        <v>3</v>
      </c>
      <c r="HP37" t="s">
        <v>3</v>
      </c>
      <c r="HQ37" t="s">
        <v>3</v>
      </c>
      <c r="HS37">
        <v>0</v>
      </c>
      <c r="IF37">
        <v>-1</v>
      </c>
      <c r="IK37">
        <v>0</v>
      </c>
    </row>
    <row r="38" spans="1:255" x14ac:dyDescent="0.2">
      <c r="A38" s="2">
        <v>17</v>
      </c>
      <c r="B38" s="2">
        <v>1</v>
      </c>
      <c r="C38" s="2">
        <f>ROW(SmtRes!A22)</f>
        <v>22</v>
      </c>
      <c r="D38" s="2">
        <f>ROW(EtalonRes!A24)</f>
        <v>24</v>
      </c>
      <c r="E38" s="2" t="s">
        <v>80</v>
      </c>
      <c r="F38" s="2" t="s">
        <v>81</v>
      </c>
      <c r="G38" s="2" t="s">
        <v>82</v>
      </c>
      <c r="H38" s="2" t="s">
        <v>53</v>
      </c>
      <c r="I38" s="2">
        <f>'1.Лок.смета.и.Акт'!E85</f>
        <v>-8.4000000000000005E-2</v>
      </c>
      <c r="J38" s="2">
        <v>0</v>
      </c>
      <c r="K38" s="2">
        <v>-8.4000000000000005E-2</v>
      </c>
      <c r="L38" s="2"/>
      <c r="M38" s="2"/>
      <c r="N38" s="2"/>
      <c r="O38" s="2">
        <f t="shared" si="14"/>
        <v>-23</v>
      </c>
      <c r="P38" s="2">
        <f t="shared" si="15"/>
        <v>0</v>
      </c>
      <c r="Q38" s="2">
        <f t="shared" si="16"/>
        <v>-11</v>
      </c>
      <c r="R38" s="2">
        <f t="shared" si="17"/>
        <v>0</v>
      </c>
      <c r="S38" s="2">
        <f t="shared" si="18"/>
        <v>-12</v>
      </c>
      <c r="T38" s="2">
        <f t="shared" si="19"/>
        <v>0</v>
      </c>
      <c r="U38" s="2">
        <f t="shared" si="20"/>
        <v>-1.3245120000000001</v>
      </c>
      <c r="V38" s="2">
        <f t="shared" si="21"/>
        <v>0</v>
      </c>
      <c r="W38" s="2">
        <f t="shared" si="22"/>
        <v>0</v>
      </c>
      <c r="X38" s="2">
        <f t="shared" si="23"/>
        <v>-12</v>
      </c>
      <c r="Y38" s="2">
        <f t="shared" si="24"/>
        <v>-7</v>
      </c>
      <c r="Z38" s="2"/>
      <c r="AA38" s="2">
        <v>91261330</v>
      </c>
      <c r="AB38" s="2">
        <f t="shared" si="25"/>
        <v>270.29000000000002</v>
      </c>
      <c r="AC38" s="2">
        <f>ROUND(((ES38*3.6)),2)</f>
        <v>0</v>
      </c>
      <c r="AD38" s="2">
        <f>ROUND(((((ET38*3.6))-((EU38*3.6)))+AE38),2)</f>
        <v>127.73</v>
      </c>
      <c r="AE38" s="2">
        <f>ROUND(((EU38*3.6)),2)</f>
        <v>0</v>
      </c>
      <c r="AF38" s="2">
        <f>ROUND(((EV38*3.6)),2)</f>
        <v>142.56</v>
      </c>
      <c r="AG38" s="2">
        <f t="shared" si="27"/>
        <v>0</v>
      </c>
      <c r="AH38" s="2">
        <f>((EW38*3.6))</f>
        <v>15.768000000000001</v>
      </c>
      <c r="AI38" s="2">
        <f>((EX38*3.6))</f>
        <v>0</v>
      </c>
      <c r="AJ38" s="2">
        <f t="shared" si="28"/>
        <v>0</v>
      </c>
      <c r="AK38" s="2">
        <v>75.08</v>
      </c>
      <c r="AL38" s="2">
        <v>0</v>
      </c>
      <c r="AM38" s="2">
        <v>35.479999999999997</v>
      </c>
      <c r="AN38" s="2">
        <v>0</v>
      </c>
      <c r="AO38" s="2">
        <v>39.6</v>
      </c>
      <c r="AP38" s="2">
        <v>0</v>
      </c>
      <c r="AQ38" s="2">
        <v>4.38</v>
      </c>
      <c r="AR38" s="2">
        <v>0</v>
      </c>
      <c r="AS38" s="2">
        <v>0</v>
      </c>
      <c r="AT38" s="2">
        <v>103</v>
      </c>
      <c r="AU38" s="2">
        <v>59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0</v>
      </c>
      <c r="BI38" s="2">
        <v>1</v>
      </c>
      <c r="BJ38" s="2" t="s">
        <v>83</v>
      </c>
      <c r="BK38" s="2"/>
      <c r="BL38" s="2"/>
      <c r="BM38" s="2">
        <v>46001</v>
      </c>
      <c r="BN38" s="2">
        <v>0</v>
      </c>
      <c r="BO38" s="2" t="s">
        <v>3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103</v>
      </c>
      <c r="CA38" s="2">
        <v>59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 t="shared" si="29"/>
        <v>-23</v>
      </c>
      <c r="CQ38" s="2">
        <f t="shared" si="30"/>
        <v>0</v>
      </c>
      <c r="CR38" s="2">
        <f>((((ET38*3.6))*BB38-((EU38*3.6))*BS38)+AE38*BS38)</f>
        <v>127.72799999999999</v>
      </c>
      <c r="CS38" s="2">
        <f t="shared" si="31"/>
        <v>0</v>
      </c>
      <c r="CT38" s="2">
        <f t="shared" si="32"/>
        <v>142.56</v>
      </c>
      <c r="CU38" s="2">
        <f t="shared" si="33"/>
        <v>0</v>
      </c>
      <c r="CV38" s="2">
        <f t="shared" si="34"/>
        <v>15.768000000000001</v>
      </c>
      <c r="CW38" s="2">
        <f t="shared" si="35"/>
        <v>0</v>
      </c>
      <c r="CX38" s="2">
        <f t="shared" si="36"/>
        <v>0</v>
      </c>
      <c r="CY38" s="2">
        <f>(((S38+R38)*AT38)/100)</f>
        <v>-12.36</v>
      </c>
      <c r="CZ38" s="2">
        <f>(((S38+R38)*AU38)/100)</f>
        <v>-7.08</v>
      </c>
      <c r="DA38" s="2"/>
      <c r="DB38" s="2"/>
      <c r="DC38" s="2" t="s">
        <v>3</v>
      </c>
      <c r="DD38" s="2" t="s">
        <v>84</v>
      </c>
      <c r="DE38" s="2" t="s">
        <v>84</v>
      </c>
      <c r="DF38" s="2" t="s">
        <v>84</v>
      </c>
      <c r="DG38" s="2" t="s">
        <v>84</v>
      </c>
      <c r="DH38" s="2" t="s">
        <v>3</v>
      </c>
      <c r="DI38" s="2" t="s">
        <v>84</v>
      </c>
      <c r="DJ38" s="2" t="s">
        <v>84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1013</v>
      </c>
      <c r="DV38" s="2" t="s">
        <v>53</v>
      </c>
      <c r="DW38" s="2" t="s">
        <v>53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59670417</v>
      </c>
      <c r="EF38" s="2">
        <v>2</v>
      </c>
      <c r="EG38" s="2" t="s">
        <v>33</v>
      </c>
      <c r="EH38" s="2">
        <v>40</v>
      </c>
      <c r="EI38" s="2" t="s">
        <v>55</v>
      </c>
      <c r="EJ38" s="2">
        <v>1</v>
      </c>
      <c r="EK38" s="2">
        <v>46001</v>
      </c>
      <c r="EL38" s="2" t="s">
        <v>56</v>
      </c>
      <c r="EM38" s="2" t="s">
        <v>57</v>
      </c>
      <c r="EN38" s="2"/>
      <c r="EO38" s="2" t="s">
        <v>3</v>
      </c>
      <c r="EP38" s="2"/>
      <c r="EQ38" s="2">
        <v>0</v>
      </c>
      <c r="ER38" s="2">
        <v>75.08</v>
      </c>
      <c r="ES38" s="2">
        <v>0</v>
      </c>
      <c r="ET38" s="2">
        <v>35.479999999999997</v>
      </c>
      <c r="EU38" s="2">
        <v>0</v>
      </c>
      <c r="EV38" s="2">
        <v>39.6</v>
      </c>
      <c r="EW38" s="2">
        <v>4.38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v>0</v>
      </c>
      <c r="FS38" s="2">
        <v>0</v>
      </c>
      <c r="FT38" s="2"/>
      <c r="FU38" s="2"/>
      <c r="FV38" s="2"/>
      <c r="FW38" s="2"/>
      <c r="FX38" s="2">
        <v>103</v>
      </c>
      <c r="FY38" s="2">
        <v>59</v>
      </c>
      <c r="FZ38" s="2"/>
      <c r="GA38" s="2" t="s">
        <v>3</v>
      </c>
      <c r="GB38" s="2"/>
      <c r="GC38" s="2"/>
      <c r="GD38" s="2">
        <v>1</v>
      </c>
      <c r="GE38" s="2"/>
      <c r="GF38" s="2">
        <v>2020964358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39"/>
        <v>0</v>
      </c>
      <c r="GM38" s="2">
        <f t="shared" si="40"/>
        <v>-42</v>
      </c>
      <c r="GN38" s="2">
        <f t="shared" si="41"/>
        <v>-42</v>
      </c>
      <c r="GO38" s="2">
        <f t="shared" si="42"/>
        <v>0</v>
      </c>
      <c r="GP38" s="2">
        <f t="shared" si="43"/>
        <v>0</v>
      </c>
      <c r="GQ38" s="2"/>
      <c r="GR38" s="2">
        <v>0</v>
      </c>
      <c r="GS38" s="2">
        <v>3</v>
      </c>
      <c r="GT38" s="2">
        <v>0</v>
      </c>
      <c r="GU38" s="2" t="s">
        <v>84</v>
      </c>
      <c r="GV38" s="2">
        <f>ROUND(((GT38*3.6)),2)</f>
        <v>0</v>
      </c>
      <c r="GW38" s="2">
        <v>1</v>
      </c>
      <c r="GX38" s="2">
        <f t="shared" si="45"/>
        <v>0</v>
      </c>
      <c r="GY38" s="2"/>
      <c r="GZ38" s="2"/>
      <c r="HA38" s="2">
        <v>0</v>
      </c>
      <c r="HB38" s="2">
        <v>0</v>
      </c>
      <c r="HC38" s="2">
        <f t="shared" si="46"/>
        <v>0</v>
      </c>
      <c r="HD38" s="2"/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58</v>
      </c>
      <c r="HO38" s="2" t="s">
        <v>59</v>
      </c>
      <c r="HP38" s="2" t="s">
        <v>56</v>
      </c>
      <c r="HQ38" s="2" t="s">
        <v>56</v>
      </c>
      <c r="HR38" s="2"/>
      <c r="HS38" s="2">
        <v>0</v>
      </c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>
        <v>-1</v>
      </c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C39">
        <f>ROW(SmtRes!A24)</f>
        <v>24</v>
      </c>
      <c r="D39">
        <f>ROW(EtalonRes!A28)</f>
        <v>28</v>
      </c>
      <c r="E39" t="s">
        <v>80</v>
      </c>
      <c r="F39" t="s">
        <v>81</v>
      </c>
      <c r="G39" t="s">
        <v>82</v>
      </c>
      <c r="H39" t="s">
        <v>53</v>
      </c>
      <c r="I39">
        <f>'1.Лок.смета.и.Акт'!E85</f>
        <v>-8.4000000000000005E-2</v>
      </c>
      <c r="J39">
        <v>0</v>
      </c>
      <c r="K39">
        <v>-8.4000000000000005E-2</v>
      </c>
      <c r="O39">
        <f t="shared" si="14"/>
        <v>0</v>
      </c>
      <c r="P39">
        <f t="shared" si="15"/>
        <v>0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-1.3245120000000001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91261331</v>
      </c>
      <c r="AB39">
        <f t="shared" si="25"/>
        <v>0</v>
      </c>
      <c r="AC39">
        <f>ROUND(((ES39*3.6)),2)</f>
        <v>0</v>
      </c>
      <c r="AD39">
        <f>ROUND(((((ET39*3.6))-((EU39*3.6)))+AE39),2)</f>
        <v>0</v>
      </c>
      <c r="AE39">
        <f>ROUND(((EU39*3.6)),2)</f>
        <v>0</v>
      </c>
      <c r="AF39">
        <f>ROUND(((EV39*3.6)),2)</f>
        <v>0</v>
      </c>
      <c r="AG39">
        <f t="shared" si="27"/>
        <v>0</v>
      </c>
      <c r="AH39">
        <f>((EW39*3.6))</f>
        <v>15.768000000000001</v>
      </c>
      <c r="AI39">
        <f>((EX39*3.6))</f>
        <v>0</v>
      </c>
      <c r="AJ39">
        <f t="shared" si="28"/>
        <v>0</v>
      </c>
      <c r="AK39">
        <f>AL39+AM39+AO39</f>
        <v>0</v>
      </c>
      <c r="AL39">
        <v>0</v>
      </c>
      <c r="AM39" s="71">
        <f>'1.Лок.смета.и.Акт'!F87</f>
        <v>0</v>
      </c>
      <c r="AN39">
        <v>0</v>
      </c>
      <c r="AO39" s="71">
        <f>'1.Лок.смета.и.Акт'!F86</f>
        <v>0</v>
      </c>
      <c r="AP39">
        <v>0</v>
      </c>
      <c r="AQ39">
        <f>'1.Лок.смета.и.Акт'!E90</f>
        <v>4.38</v>
      </c>
      <c r="AR39">
        <v>0</v>
      </c>
      <c r="AS39">
        <v>0</v>
      </c>
      <c r="AT39">
        <v>103</v>
      </c>
      <c r="AU39">
        <v>59</v>
      </c>
      <c r="AV39">
        <v>1</v>
      </c>
      <c r="AW39">
        <v>1</v>
      </c>
      <c r="AZ39">
        <v>1</v>
      </c>
      <c r="BA39">
        <f>'1.Лок.смета.и.Акт'!J86</f>
        <v>36.99</v>
      </c>
      <c r="BB39">
        <f>'1.Лок.смета.и.Акт'!J87</f>
        <v>13.51</v>
      </c>
      <c r="BC39">
        <v>10.88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83</v>
      </c>
      <c r="BM39">
        <v>46001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36.99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103</v>
      </c>
      <c r="CA39">
        <v>59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29"/>
        <v>0</v>
      </c>
      <c r="CQ39">
        <f t="shared" si="30"/>
        <v>0</v>
      </c>
      <c r="CR39">
        <f>((((ET39*3.6))*BB39-((EU39*3.6))*BS39)+AE39*BS39)</f>
        <v>0</v>
      </c>
      <c r="CS39">
        <f t="shared" si="31"/>
        <v>0</v>
      </c>
      <c r="CT39">
        <f t="shared" si="32"/>
        <v>0</v>
      </c>
      <c r="CU39">
        <f t="shared" si="33"/>
        <v>0</v>
      </c>
      <c r="CV39">
        <f t="shared" si="34"/>
        <v>15.768000000000001</v>
      </c>
      <c r="CW39">
        <f t="shared" si="35"/>
        <v>0</v>
      </c>
      <c r="CX39">
        <f t="shared" si="36"/>
        <v>0</v>
      </c>
      <c r="CY39">
        <f>(((S39+R39)*AT39)/100)</f>
        <v>0</v>
      </c>
      <c r="CZ39">
        <f>(((S39+R39)*AU39)/100)</f>
        <v>0</v>
      </c>
      <c r="DC39" t="s">
        <v>3</v>
      </c>
      <c r="DD39" t="s">
        <v>84</v>
      </c>
      <c r="DE39" t="s">
        <v>84</v>
      </c>
      <c r="DF39" t="s">
        <v>84</v>
      </c>
      <c r="DG39" t="s">
        <v>84</v>
      </c>
      <c r="DH39" t="s">
        <v>3</v>
      </c>
      <c r="DI39" t="s">
        <v>84</v>
      </c>
      <c r="DJ39" t="s">
        <v>84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53</v>
      </c>
      <c r="DW39" t="str">
        <f>'1.Лок.смета.и.Акт'!D85</f>
        <v>100 м2 поверхности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59670417</v>
      </c>
      <c r="EF39">
        <v>2</v>
      </c>
      <c r="EG39" t="s">
        <v>33</v>
      </c>
      <c r="EH39">
        <v>40</v>
      </c>
      <c r="EI39" t="s">
        <v>55</v>
      </c>
      <c r="EJ39">
        <v>1</v>
      </c>
      <c r="EK39">
        <v>46001</v>
      </c>
      <c r="EL39" t="s">
        <v>56</v>
      </c>
      <c r="EM39" t="s">
        <v>57</v>
      </c>
      <c r="EO39" t="s">
        <v>3</v>
      </c>
      <c r="EQ39">
        <v>0</v>
      </c>
      <c r="ER39">
        <f>ES39+ET39+EV39</f>
        <v>0</v>
      </c>
      <c r="ES39">
        <v>0</v>
      </c>
      <c r="ET39" s="71">
        <f>'1.Лок.смета.и.Акт'!F87</f>
        <v>0</v>
      </c>
      <c r="EU39">
        <v>0</v>
      </c>
      <c r="EV39" s="71">
        <f>'1.Лок.смета.и.Акт'!F86</f>
        <v>0</v>
      </c>
      <c r="EW39">
        <f>'1.Лок.смета.и.Акт'!E90</f>
        <v>4.38</v>
      </c>
      <c r="EX39">
        <v>0</v>
      </c>
      <c r="EY39">
        <v>0</v>
      </c>
      <c r="FQ39">
        <v>0</v>
      </c>
      <c r="FR39">
        <v>0</v>
      </c>
      <c r="FS39">
        <v>0</v>
      </c>
      <c r="FX39">
        <v>103</v>
      </c>
      <c r="FY39">
        <v>59</v>
      </c>
      <c r="GA39" t="s">
        <v>3</v>
      </c>
      <c r="GD39">
        <v>1</v>
      </c>
      <c r="GF39">
        <v>2020964358</v>
      </c>
      <c r="GG39">
        <v>2</v>
      </c>
      <c r="GH39">
        <v>1</v>
      </c>
      <c r="GI39">
        <v>4</v>
      </c>
      <c r="GJ39">
        <v>0</v>
      </c>
      <c r="GK39">
        <v>0</v>
      </c>
      <c r="GL39">
        <f t="shared" si="39"/>
        <v>0</v>
      </c>
      <c r="GM39">
        <f t="shared" si="40"/>
        <v>0</v>
      </c>
      <c r="GN39">
        <f t="shared" si="41"/>
        <v>0</v>
      </c>
      <c r="GO39">
        <f t="shared" si="42"/>
        <v>0</v>
      </c>
      <c r="GP39">
        <f t="shared" si="43"/>
        <v>0</v>
      </c>
      <c r="GR39">
        <v>0</v>
      </c>
      <c r="GS39">
        <v>3</v>
      </c>
      <c r="GT39">
        <v>0</v>
      </c>
      <c r="GU39" t="s">
        <v>84</v>
      </c>
      <c r="GV39">
        <f>ROUND(((GT39*3.6)),2)</f>
        <v>0</v>
      </c>
      <c r="GW39">
        <v>1</v>
      </c>
      <c r="GX39">
        <f t="shared" si="45"/>
        <v>0</v>
      </c>
      <c r="HA39">
        <v>0</v>
      </c>
      <c r="HB39">
        <v>0</v>
      </c>
      <c r="HC39">
        <f t="shared" si="46"/>
        <v>0</v>
      </c>
      <c r="HE39" t="s">
        <v>3</v>
      </c>
      <c r="HF39" t="s">
        <v>3</v>
      </c>
      <c r="HM39" t="s">
        <v>3</v>
      </c>
      <c r="HN39" t="s">
        <v>58</v>
      </c>
      <c r="HO39" t="s">
        <v>59</v>
      </c>
      <c r="HP39" t="s">
        <v>56</v>
      </c>
      <c r="HQ39" t="s">
        <v>56</v>
      </c>
      <c r="HS39">
        <v>0</v>
      </c>
      <c r="IF39">
        <v>-1</v>
      </c>
      <c r="IK39">
        <v>0</v>
      </c>
    </row>
    <row r="40" spans="1:255" x14ac:dyDescent="0.2">
      <c r="A40" s="2">
        <v>17</v>
      </c>
      <c r="B40" s="2">
        <v>1</v>
      </c>
      <c r="C40" s="2">
        <f>ROW(SmtRes!A25)</f>
        <v>25</v>
      </c>
      <c r="D40" s="2">
        <f>ROW(EtalonRes!A29)</f>
        <v>29</v>
      </c>
      <c r="E40" s="2" t="s">
        <v>85</v>
      </c>
      <c r="F40" s="2" t="s">
        <v>17</v>
      </c>
      <c r="G40" s="2" t="s">
        <v>86</v>
      </c>
      <c r="H40" s="2" t="s">
        <v>19</v>
      </c>
      <c r="I40" s="2">
        <f>'1.Лок.смета.и.Акт'!E93</f>
        <v>8.4000000000000005E-2</v>
      </c>
      <c r="J40" s="2">
        <v>0</v>
      </c>
      <c r="K40" s="2">
        <v>8.4000000000000005E-2</v>
      </c>
      <c r="L40" s="2"/>
      <c r="M40" s="2"/>
      <c r="N40" s="2"/>
      <c r="O40" s="2">
        <f t="shared" si="14"/>
        <v>14</v>
      </c>
      <c r="P40" s="2">
        <f t="shared" si="15"/>
        <v>0</v>
      </c>
      <c r="Q40" s="2">
        <f t="shared" si="16"/>
        <v>0</v>
      </c>
      <c r="R40" s="2">
        <f t="shared" si="17"/>
        <v>0</v>
      </c>
      <c r="S40" s="2">
        <f t="shared" si="18"/>
        <v>14</v>
      </c>
      <c r="T40" s="2">
        <f t="shared" si="19"/>
        <v>0</v>
      </c>
      <c r="U40" s="2">
        <f t="shared" si="20"/>
        <v>1.7472000000000001</v>
      </c>
      <c r="V40" s="2">
        <f t="shared" si="21"/>
        <v>0</v>
      </c>
      <c r="W40" s="2">
        <f t="shared" si="22"/>
        <v>0</v>
      </c>
      <c r="X40" s="2">
        <f t="shared" si="23"/>
        <v>13</v>
      </c>
      <c r="Y40" s="2">
        <f t="shared" si="24"/>
        <v>6</v>
      </c>
      <c r="Z40" s="2"/>
      <c r="AA40" s="2">
        <v>91261330</v>
      </c>
      <c r="AB40" s="2">
        <f t="shared" si="25"/>
        <v>163.69999999999999</v>
      </c>
      <c r="AC40" s="2">
        <f>ROUND((ES40),2)</f>
        <v>0</v>
      </c>
      <c r="AD40" s="2">
        <f>ROUND((((ET40)-(EU40))+AE40),2)</f>
        <v>0</v>
      </c>
      <c r="AE40" s="2">
        <f>ROUND((EU40),2)</f>
        <v>0</v>
      </c>
      <c r="AF40" s="2">
        <f>ROUND((EV40),2)</f>
        <v>163.69999999999999</v>
      </c>
      <c r="AG40" s="2">
        <f t="shared" si="27"/>
        <v>0</v>
      </c>
      <c r="AH40" s="2">
        <f>(EW40)</f>
        <v>20.8</v>
      </c>
      <c r="AI40" s="2">
        <f>(EX40)</f>
        <v>0</v>
      </c>
      <c r="AJ40" s="2">
        <f t="shared" si="28"/>
        <v>0</v>
      </c>
      <c r="AK40" s="2">
        <v>163.69999999999999</v>
      </c>
      <c r="AL40" s="2">
        <v>0</v>
      </c>
      <c r="AM40" s="2">
        <v>0</v>
      </c>
      <c r="AN40" s="2">
        <v>0</v>
      </c>
      <c r="AO40" s="2">
        <v>163.69999999999999</v>
      </c>
      <c r="AP40" s="2">
        <v>0</v>
      </c>
      <c r="AQ40" s="2">
        <v>20.8</v>
      </c>
      <c r="AR40" s="2">
        <v>0</v>
      </c>
      <c r="AS40" s="2">
        <v>0</v>
      </c>
      <c r="AT40" s="2">
        <v>90</v>
      </c>
      <c r="AU40" s="2">
        <v>46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0</v>
      </c>
      <c r="BI40" s="2">
        <v>1</v>
      </c>
      <c r="BJ40" s="2" t="s">
        <v>20</v>
      </c>
      <c r="BK40" s="2"/>
      <c r="BL40" s="2"/>
      <c r="BM40" s="2">
        <v>62001</v>
      </c>
      <c r="BN40" s="2">
        <v>0</v>
      </c>
      <c r="BO40" s="2" t="s">
        <v>3</v>
      </c>
      <c r="BP40" s="2">
        <v>0</v>
      </c>
      <c r="BQ40" s="2">
        <v>6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90</v>
      </c>
      <c r="CA40" s="2">
        <v>46</v>
      </c>
      <c r="CB40" s="2" t="s">
        <v>3</v>
      </c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3</v>
      </c>
      <c r="CO40" s="2">
        <v>0</v>
      </c>
      <c r="CP40" s="2">
        <f t="shared" si="29"/>
        <v>14</v>
      </c>
      <c r="CQ40" s="2">
        <f t="shared" si="30"/>
        <v>0</v>
      </c>
      <c r="CR40" s="2">
        <f>(((ET40)*BB40-(EU40)*BS40)+AE40*BS40)</f>
        <v>0</v>
      </c>
      <c r="CS40" s="2">
        <f t="shared" si="31"/>
        <v>0</v>
      </c>
      <c r="CT40" s="2">
        <f t="shared" si="32"/>
        <v>163.69999999999999</v>
      </c>
      <c r="CU40" s="2">
        <f t="shared" si="33"/>
        <v>0</v>
      </c>
      <c r="CV40" s="2">
        <f t="shared" si="34"/>
        <v>20.8</v>
      </c>
      <c r="CW40" s="2">
        <f t="shared" si="35"/>
        <v>0</v>
      </c>
      <c r="CX40" s="2">
        <f t="shared" si="36"/>
        <v>0</v>
      </c>
      <c r="CY40" s="2">
        <f>(((S40+R40)*AT40)/100)</f>
        <v>12.6</v>
      </c>
      <c r="CZ40" s="2">
        <f>(((S40+R40)*AU40)/100)</f>
        <v>6.44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1013</v>
      </c>
      <c r="DV40" s="2" t="s">
        <v>19</v>
      </c>
      <c r="DW40" s="2" t="s">
        <v>19</v>
      </c>
      <c r="DX40" s="2">
        <v>1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59670448</v>
      </c>
      <c r="EF40" s="2">
        <v>6</v>
      </c>
      <c r="EG40" s="2" t="s">
        <v>21</v>
      </c>
      <c r="EH40" s="2">
        <v>96</v>
      </c>
      <c r="EI40" s="2" t="s">
        <v>22</v>
      </c>
      <c r="EJ40" s="2">
        <v>1</v>
      </c>
      <c r="EK40" s="2">
        <v>62001</v>
      </c>
      <c r="EL40" s="2" t="s">
        <v>22</v>
      </c>
      <c r="EM40" s="2" t="s">
        <v>23</v>
      </c>
      <c r="EN40" s="2"/>
      <c r="EO40" s="2" t="s">
        <v>3</v>
      </c>
      <c r="EP40" s="2"/>
      <c r="EQ40" s="2">
        <v>0</v>
      </c>
      <c r="ER40" s="2">
        <v>163.69999999999999</v>
      </c>
      <c r="ES40" s="2">
        <v>0</v>
      </c>
      <c r="ET40" s="2">
        <v>0</v>
      </c>
      <c r="EU40" s="2">
        <v>0</v>
      </c>
      <c r="EV40" s="2">
        <v>163.69999999999999</v>
      </c>
      <c r="EW40" s="2">
        <v>20.8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v>0</v>
      </c>
      <c r="FS40" s="2">
        <v>0</v>
      </c>
      <c r="FT40" s="2"/>
      <c r="FU40" s="2"/>
      <c r="FV40" s="2"/>
      <c r="FW40" s="2"/>
      <c r="FX40" s="2">
        <v>90</v>
      </c>
      <c r="FY40" s="2">
        <v>46</v>
      </c>
      <c r="FZ40" s="2"/>
      <c r="GA40" s="2" t="s">
        <v>3</v>
      </c>
      <c r="GB40" s="2"/>
      <c r="GC40" s="2"/>
      <c r="GD40" s="2">
        <v>1</v>
      </c>
      <c r="GE40" s="2"/>
      <c r="GF40" s="2">
        <v>-494336609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39"/>
        <v>0</v>
      </c>
      <c r="GM40" s="2">
        <f t="shared" si="40"/>
        <v>33</v>
      </c>
      <c r="GN40" s="2">
        <f t="shared" si="41"/>
        <v>33</v>
      </c>
      <c r="GO40" s="2">
        <f t="shared" si="42"/>
        <v>0</v>
      </c>
      <c r="GP40" s="2">
        <f t="shared" si="43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>ROUND((GT40),2)</f>
        <v>0</v>
      </c>
      <c r="GW40" s="2">
        <v>1</v>
      </c>
      <c r="GX40" s="2">
        <f t="shared" si="45"/>
        <v>0</v>
      </c>
      <c r="GY40" s="2"/>
      <c r="GZ40" s="2"/>
      <c r="HA40" s="2">
        <v>0</v>
      </c>
      <c r="HB40" s="2">
        <v>0</v>
      </c>
      <c r="HC40" s="2">
        <f t="shared" si="46"/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24</v>
      </c>
      <c r="HO40" s="2" t="s">
        <v>25</v>
      </c>
      <c r="HP40" s="2" t="s">
        <v>22</v>
      </c>
      <c r="HQ40" s="2" t="s">
        <v>22</v>
      </c>
      <c r="HR40" s="2"/>
      <c r="HS40" s="2">
        <v>0</v>
      </c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>
        <v>-1</v>
      </c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ROW(SmtRes!A26)</f>
        <v>26</v>
      </c>
      <c r="D41">
        <f>ROW(EtalonRes!A30)</f>
        <v>30</v>
      </c>
      <c r="E41" t="s">
        <v>85</v>
      </c>
      <c r="F41" t="s">
        <v>17</v>
      </c>
      <c r="G41" t="s">
        <v>86</v>
      </c>
      <c r="H41" t="s">
        <v>19</v>
      </c>
      <c r="I41">
        <f>'1.Лок.смета.и.Акт'!E93</f>
        <v>8.4000000000000005E-2</v>
      </c>
      <c r="J41">
        <v>0</v>
      </c>
      <c r="K41">
        <v>8.4000000000000005E-2</v>
      </c>
      <c r="O41">
        <f t="shared" si="14"/>
        <v>0</v>
      </c>
      <c r="P41">
        <f t="shared" si="15"/>
        <v>0</v>
      </c>
      <c r="Q41">
        <f t="shared" si="16"/>
        <v>0</v>
      </c>
      <c r="R41">
        <f t="shared" si="17"/>
        <v>0</v>
      </c>
      <c r="S41">
        <f t="shared" si="18"/>
        <v>0</v>
      </c>
      <c r="T41">
        <f t="shared" si="19"/>
        <v>0</v>
      </c>
      <c r="U41">
        <f t="shared" si="20"/>
        <v>1.7472000000000001</v>
      </c>
      <c r="V41">
        <f t="shared" si="21"/>
        <v>0</v>
      </c>
      <c r="W41">
        <f t="shared" si="22"/>
        <v>0</v>
      </c>
      <c r="X41">
        <f t="shared" si="23"/>
        <v>0</v>
      </c>
      <c r="Y41">
        <f t="shared" si="24"/>
        <v>0</v>
      </c>
      <c r="AA41">
        <v>91261331</v>
      </c>
      <c r="AB41">
        <f t="shared" si="25"/>
        <v>0</v>
      </c>
      <c r="AC41">
        <f>ROUND((ES41),2)</f>
        <v>0</v>
      </c>
      <c r="AD41">
        <f>ROUND((((ET41)-(EU41))+AE41),2)</f>
        <v>0</v>
      </c>
      <c r="AE41">
        <f>ROUND((EU41),2)</f>
        <v>0</v>
      </c>
      <c r="AF41">
        <f>ROUND((EV41),2)</f>
        <v>0</v>
      </c>
      <c r="AG41">
        <f t="shared" si="27"/>
        <v>0</v>
      </c>
      <c r="AH41">
        <f>(EW41)</f>
        <v>20.8</v>
      </c>
      <c r="AI41">
        <f>(EX41)</f>
        <v>0</v>
      </c>
      <c r="AJ41">
        <f t="shared" si="28"/>
        <v>0</v>
      </c>
      <c r="AK41">
        <f>AL41+AM41+AO41</f>
        <v>0</v>
      </c>
      <c r="AL41">
        <v>0</v>
      </c>
      <c r="AM41">
        <v>0</v>
      </c>
      <c r="AN41">
        <v>0</v>
      </c>
      <c r="AO41" s="71">
        <f>'1.Лок.смета.и.Акт'!F94</f>
        <v>0</v>
      </c>
      <c r="AP41">
        <v>0</v>
      </c>
      <c r="AQ41">
        <f>'1.Лок.смета.и.Акт'!E97</f>
        <v>20.8</v>
      </c>
      <c r="AR41">
        <v>0</v>
      </c>
      <c r="AS41">
        <v>0</v>
      </c>
      <c r="AT41">
        <v>90</v>
      </c>
      <c r="AU41">
        <v>46</v>
      </c>
      <c r="AV41">
        <v>1</v>
      </c>
      <c r="AW41">
        <v>1</v>
      </c>
      <c r="AZ41">
        <v>1</v>
      </c>
      <c r="BA41">
        <f>'1.Лок.смета.и.Акт'!J94</f>
        <v>36.99</v>
      </c>
      <c r="BB41">
        <v>13.51</v>
      </c>
      <c r="BC41">
        <v>10.88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20</v>
      </c>
      <c r="BM41">
        <v>62001</v>
      </c>
      <c r="BN41">
        <v>0</v>
      </c>
      <c r="BO41" t="s">
        <v>3</v>
      </c>
      <c r="BP41">
        <v>0</v>
      </c>
      <c r="BQ41">
        <v>6</v>
      </c>
      <c r="BR41">
        <v>0</v>
      </c>
      <c r="BS41">
        <v>36.99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90</v>
      </c>
      <c r="CA41">
        <v>46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29"/>
        <v>0</v>
      </c>
      <c r="CQ41">
        <f t="shared" si="30"/>
        <v>0</v>
      </c>
      <c r="CR41">
        <f>(((ET41)*BB41-(EU41)*BS41)+AE41*BS41)</f>
        <v>0</v>
      </c>
      <c r="CS41">
        <f t="shared" si="31"/>
        <v>0</v>
      </c>
      <c r="CT41">
        <f t="shared" si="32"/>
        <v>0</v>
      </c>
      <c r="CU41">
        <f t="shared" si="33"/>
        <v>0</v>
      </c>
      <c r="CV41">
        <f t="shared" si="34"/>
        <v>20.8</v>
      </c>
      <c r="CW41">
        <f t="shared" si="35"/>
        <v>0</v>
      </c>
      <c r="CX41">
        <f t="shared" si="36"/>
        <v>0</v>
      </c>
      <c r="CY41">
        <f>(((S41+R41)*AT41)/100)</f>
        <v>0</v>
      </c>
      <c r="CZ41">
        <f>(((S41+R41)*AU41)/100)</f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19</v>
      </c>
      <c r="DW41" t="str">
        <f>'1.Лок.смета.и.Акт'!D93</f>
        <v>100 м2 расчищенной поверхности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59670448</v>
      </c>
      <c r="EF41">
        <v>6</v>
      </c>
      <c r="EG41" t="s">
        <v>21</v>
      </c>
      <c r="EH41">
        <v>96</v>
      </c>
      <c r="EI41" t="s">
        <v>22</v>
      </c>
      <c r="EJ41">
        <v>1</v>
      </c>
      <c r="EK41">
        <v>62001</v>
      </c>
      <c r="EL41" t="s">
        <v>22</v>
      </c>
      <c r="EM41" t="s">
        <v>23</v>
      </c>
      <c r="EO41" t="s">
        <v>3</v>
      </c>
      <c r="EQ41">
        <v>0</v>
      </c>
      <c r="ER41">
        <f>ES41+ET41+EV41</f>
        <v>0</v>
      </c>
      <c r="ES41">
        <v>0</v>
      </c>
      <c r="ET41">
        <v>0</v>
      </c>
      <c r="EU41">
        <v>0</v>
      </c>
      <c r="EV41" s="71">
        <f>'1.Лок.смета.и.Акт'!F94</f>
        <v>0</v>
      </c>
      <c r="EW41">
        <f>'1.Лок.смета.и.Акт'!E97</f>
        <v>20.8</v>
      </c>
      <c r="EX41">
        <v>0</v>
      </c>
      <c r="EY41">
        <v>0</v>
      </c>
      <c r="FQ41">
        <v>0</v>
      </c>
      <c r="FR41">
        <v>0</v>
      </c>
      <c r="FS41">
        <v>0</v>
      </c>
      <c r="FX41">
        <v>90</v>
      </c>
      <c r="FY41">
        <v>46</v>
      </c>
      <c r="GA41" t="s">
        <v>3</v>
      </c>
      <c r="GD41">
        <v>1</v>
      </c>
      <c r="GF41">
        <v>-494336609</v>
      </c>
      <c r="GG41">
        <v>2</v>
      </c>
      <c r="GH41">
        <v>1</v>
      </c>
      <c r="GI41">
        <v>4</v>
      </c>
      <c r="GJ41">
        <v>0</v>
      </c>
      <c r="GK41">
        <v>0</v>
      </c>
      <c r="GL41">
        <f t="shared" si="39"/>
        <v>0</v>
      </c>
      <c r="GM41">
        <f t="shared" si="40"/>
        <v>0</v>
      </c>
      <c r="GN41">
        <f t="shared" si="41"/>
        <v>0</v>
      </c>
      <c r="GO41">
        <f t="shared" si="42"/>
        <v>0</v>
      </c>
      <c r="GP41">
        <f t="shared" si="43"/>
        <v>0</v>
      </c>
      <c r="GR41">
        <v>0</v>
      </c>
      <c r="GS41">
        <v>3</v>
      </c>
      <c r="GT41">
        <v>0</v>
      </c>
      <c r="GU41" t="s">
        <v>3</v>
      </c>
      <c r="GV41">
        <f>ROUND((GT41),2)</f>
        <v>0</v>
      </c>
      <c r="GW41">
        <v>1</v>
      </c>
      <c r="GX41">
        <f t="shared" si="45"/>
        <v>0</v>
      </c>
      <c r="HA41">
        <v>0</v>
      </c>
      <c r="HB41">
        <v>0</v>
      </c>
      <c r="HC41">
        <f t="shared" si="46"/>
        <v>0</v>
      </c>
      <c r="HE41" t="s">
        <v>3</v>
      </c>
      <c r="HF41" t="s">
        <v>3</v>
      </c>
      <c r="HM41" t="s">
        <v>3</v>
      </c>
      <c r="HN41" t="s">
        <v>24</v>
      </c>
      <c r="HO41" t="s">
        <v>25</v>
      </c>
      <c r="HP41" t="s">
        <v>22</v>
      </c>
      <c r="HQ41" t="s">
        <v>22</v>
      </c>
      <c r="HS41">
        <v>0</v>
      </c>
      <c r="IF41">
        <v>-1</v>
      </c>
      <c r="IK41">
        <v>0</v>
      </c>
    </row>
    <row r="42" spans="1:255" x14ac:dyDescent="0.2">
      <c r="IF42">
        <v>-1</v>
      </c>
    </row>
    <row r="43" spans="1:255" x14ac:dyDescent="0.2">
      <c r="A43" s="3">
        <v>51</v>
      </c>
      <c r="B43" s="3">
        <f>B20</f>
        <v>1</v>
      </c>
      <c r="C43" s="3">
        <f>A20</f>
        <v>3</v>
      </c>
      <c r="D43" s="3">
        <f>ROW(A20)</f>
        <v>20</v>
      </c>
      <c r="E43" s="3"/>
      <c r="F43" s="3" t="str">
        <f>IF(F20&lt;&gt;"",F20,"")</f>
        <v>Ремонт лестничных маршей ЛМП 57.11.15-5</v>
      </c>
      <c r="G43" s="3" t="str">
        <f>IF(G20&lt;&gt;"",G20,"")</f>
        <v>Ремонт лестничных маршей ЛМП 57.11.15-5 ( на 1 лестничный марш)</v>
      </c>
      <c r="H43" s="3">
        <v>0</v>
      </c>
      <c r="I43" s="3"/>
      <c r="J43" s="3"/>
      <c r="K43" s="3"/>
      <c r="L43" s="3"/>
      <c r="M43" s="3"/>
      <c r="N43" s="3"/>
      <c r="O43" s="3">
        <f t="shared" ref="O43:T43" si="53">ROUND(AB43,0)</f>
        <v>526</v>
      </c>
      <c r="P43" s="3">
        <f t="shared" si="53"/>
        <v>469</v>
      </c>
      <c r="Q43" s="3">
        <f t="shared" si="53"/>
        <v>2</v>
      </c>
      <c r="R43" s="3">
        <f t="shared" si="53"/>
        <v>1</v>
      </c>
      <c r="S43" s="3">
        <f t="shared" si="53"/>
        <v>55</v>
      </c>
      <c r="T43" s="3">
        <f t="shared" si="53"/>
        <v>0</v>
      </c>
      <c r="U43" s="3">
        <f>AH43</f>
        <v>6.5289120000000009</v>
      </c>
      <c r="V43" s="3">
        <f>AI43</f>
        <v>5.9808E-2</v>
      </c>
      <c r="W43" s="3">
        <f>ROUND(AJ43,0)</f>
        <v>0</v>
      </c>
      <c r="X43" s="3">
        <f>ROUND(AK43,0)</f>
        <v>54</v>
      </c>
      <c r="Y43" s="3">
        <f>ROUND(AL43,0)</f>
        <v>28</v>
      </c>
      <c r="Z43" s="3"/>
      <c r="AA43" s="3"/>
      <c r="AB43" s="3">
        <f>ROUND(SUMIF(AA24:AA41,"=91261330",O24:O41),0)</f>
        <v>526</v>
      </c>
      <c r="AC43" s="3">
        <f>ROUND(SUMIF(AA24:AA41,"=91261330",P24:P41),0)</f>
        <v>469</v>
      </c>
      <c r="AD43" s="3">
        <f>ROUND(SUMIF(AA24:AA41,"=91261330",Q24:Q41),0)</f>
        <v>2</v>
      </c>
      <c r="AE43" s="3">
        <f>ROUND(SUMIF(AA24:AA41,"=91261330",R24:R41),0)</f>
        <v>1</v>
      </c>
      <c r="AF43" s="3">
        <f>ROUND(SUMIF(AA24:AA41,"=91261330",S24:S41),0)</f>
        <v>55</v>
      </c>
      <c r="AG43" s="3">
        <f>ROUND(SUMIF(AA24:AA41,"=91261330",T24:T41),0)</f>
        <v>0</v>
      </c>
      <c r="AH43" s="3">
        <f>SUMIF(AA24:AA41,"=91261330",U24:U41)</f>
        <v>6.5289120000000009</v>
      </c>
      <c r="AI43" s="3">
        <f>SUMIF(AA24:AA41,"=91261330",V24:V41)</f>
        <v>5.9808E-2</v>
      </c>
      <c r="AJ43" s="3">
        <f>ROUND(SUMIF(AA24:AA41,"=91261330",W24:W41),0)</f>
        <v>0</v>
      </c>
      <c r="AK43" s="3">
        <f>ROUND(SUMIF(AA24:AA41,"=91261330",X24:X41),0)</f>
        <v>54</v>
      </c>
      <c r="AL43" s="3">
        <f>ROUND(SUMIF(AA24:AA41,"=91261330",Y24:Y41),0)</f>
        <v>28</v>
      </c>
      <c r="AM43" s="3"/>
      <c r="AN43" s="3"/>
      <c r="AO43" s="3">
        <f t="shared" ref="AO43:BD43" si="54">ROUND(BX43,0)</f>
        <v>0</v>
      </c>
      <c r="AP43" s="3">
        <f t="shared" si="54"/>
        <v>0</v>
      </c>
      <c r="AQ43" s="3">
        <f t="shared" si="54"/>
        <v>0</v>
      </c>
      <c r="AR43" s="3">
        <f t="shared" si="54"/>
        <v>608</v>
      </c>
      <c r="AS43" s="3">
        <f t="shared" si="54"/>
        <v>608</v>
      </c>
      <c r="AT43" s="3">
        <f t="shared" si="54"/>
        <v>0</v>
      </c>
      <c r="AU43" s="3">
        <f t="shared" si="54"/>
        <v>0</v>
      </c>
      <c r="AV43" s="3">
        <f t="shared" si="54"/>
        <v>469</v>
      </c>
      <c r="AW43" s="3">
        <f t="shared" si="54"/>
        <v>469</v>
      </c>
      <c r="AX43" s="3">
        <f t="shared" si="54"/>
        <v>0</v>
      </c>
      <c r="AY43" s="3">
        <f t="shared" si="54"/>
        <v>469</v>
      </c>
      <c r="AZ43" s="3">
        <f t="shared" si="54"/>
        <v>0</v>
      </c>
      <c r="BA43" s="3">
        <f t="shared" si="54"/>
        <v>0</v>
      </c>
      <c r="BB43" s="3">
        <f t="shared" si="54"/>
        <v>0</v>
      </c>
      <c r="BC43" s="3">
        <f t="shared" si="54"/>
        <v>0</v>
      </c>
      <c r="BD43" s="3">
        <f t="shared" si="54"/>
        <v>0</v>
      </c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>
        <f>ROUND(SUMIF(AA24:AA41,"=91261330",FQ24:FQ41),0)</f>
        <v>0</v>
      </c>
      <c r="BY43" s="3">
        <f>ROUND(SUMIF(AA24:AA41,"=91261330",FR24:FR41),0)</f>
        <v>0</v>
      </c>
      <c r="BZ43" s="3">
        <f>ROUND(SUMIF(AA24:AA41,"=91261330",GL24:GL41),0)</f>
        <v>0</v>
      </c>
      <c r="CA43" s="3">
        <f>ROUND(SUMIF(AA24:AA41,"=91261330",GM24:GM41),0)</f>
        <v>608</v>
      </c>
      <c r="CB43" s="3">
        <f>ROUND(SUMIF(AA24:AA41,"=91261330",GN24:GN41),0)</f>
        <v>608</v>
      </c>
      <c r="CC43" s="3">
        <f>ROUND(SUMIF(AA24:AA41,"=91261330",GO24:GO41),0)</f>
        <v>0</v>
      </c>
      <c r="CD43" s="3">
        <f>ROUND(SUMIF(AA24:AA41,"=91261330",GP24:GP41),0)</f>
        <v>0</v>
      </c>
      <c r="CE43" s="3">
        <f>AC43-BX43</f>
        <v>469</v>
      </c>
      <c r="CF43" s="3">
        <f>AC43-BY43</f>
        <v>469</v>
      </c>
      <c r="CG43" s="3">
        <f>BX43-BZ43</f>
        <v>0</v>
      </c>
      <c r="CH43" s="3">
        <f>AC43-BX43-BY43+BZ43</f>
        <v>469</v>
      </c>
      <c r="CI43" s="3">
        <f>BY43-BZ43</f>
        <v>0</v>
      </c>
      <c r="CJ43" s="3">
        <f>ROUND(SUMIF(AA24:AA41,"=91261330",GX24:GX41),0)</f>
        <v>0</v>
      </c>
      <c r="CK43" s="3">
        <f>ROUND(SUMIF(AA24:AA41,"=91261330",GY24:GY41),0)</f>
        <v>0</v>
      </c>
      <c r="CL43" s="3">
        <f>ROUND(SUMIF(AA24:AA41,"=91261330",GZ24:GZ41),0)</f>
        <v>0</v>
      </c>
      <c r="CM43" s="3">
        <f>ROUND(SUMIF(AA24:AA41,"=91261330",HD24:HD41),0)</f>
        <v>0</v>
      </c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4">
        <f t="shared" ref="DG43:DL43" si="55">ROUND(DT43,0)</f>
        <v>3692</v>
      </c>
      <c r="DH43" s="4">
        <f t="shared" si="55"/>
        <v>3692</v>
      </c>
      <c r="DI43" s="4">
        <f t="shared" si="55"/>
        <v>0</v>
      </c>
      <c r="DJ43" s="4">
        <f t="shared" si="55"/>
        <v>0</v>
      </c>
      <c r="DK43" s="4">
        <f t="shared" si="55"/>
        <v>0</v>
      </c>
      <c r="DL43" s="4">
        <f t="shared" si="55"/>
        <v>0</v>
      </c>
      <c r="DM43" s="4">
        <f>DZ43</f>
        <v>6.5289120000000009</v>
      </c>
      <c r="DN43" s="4">
        <f>EA43</f>
        <v>5.9808E-2</v>
      </c>
      <c r="DO43" s="4">
        <f>ROUND(EB43,0)</f>
        <v>0</v>
      </c>
      <c r="DP43" s="4">
        <f>ROUND(EC43,0)</f>
        <v>0</v>
      </c>
      <c r="DQ43" s="4">
        <f>ROUND(ED43,0)</f>
        <v>0</v>
      </c>
      <c r="DR43" s="4"/>
      <c r="DS43" s="4"/>
      <c r="DT43" s="4">
        <f>ROUND(SUMIF(AA24:AA41,"=91261331",O24:O41),0)</f>
        <v>3692</v>
      </c>
      <c r="DU43" s="4">
        <f>ROUND(SUMIF(AA24:AA41,"=91261331",P24:P41),0)</f>
        <v>3692</v>
      </c>
      <c r="DV43" s="4">
        <f>ROUND(SUMIF(AA24:AA41,"=91261331",Q24:Q41),0)</f>
        <v>0</v>
      </c>
      <c r="DW43" s="4">
        <f>ROUND(SUMIF(AA24:AA41,"=91261331",R24:R41),0)</f>
        <v>0</v>
      </c>
      <c r="DX43" s="4">
        <f>ROUND(SUMIF(AA24:AA41,"=91261331",S24:S41),0)</f>
        <v>0</v>
      </c>
      <c r="DY43" s="4">
        <f>ROUND(SUMIF(AA24:AA41,"=91261331",T24:T41),0)</f>
        <v>0</v>
      </c>
      <c r="DZ43" s="4">
        <f>SUMIF(AA24:AA41,"=91261331",U24:U41)</f>
        <v>6.5289120000000009</v>
      </c>
      <c r="EA43" s="4">
        <f>SUMIF(AA24:AA41,"=91261331",V24:V41)</f>
        <v>5.9808E-2</v>
      </c>
      <c r="EB43" s="4">
        <f>ROUND(SUMIF(AA24:AA41,"=91261331",W24:W41),0)</f>
        <v>0</v>
      </c>
      <c r="EC43" s="4">
        <f>ROUND(SUMIF(AA24:AA41,"=91261331",X24:X41),0)</f>
        <v>0</v>
      </c>
      <c r="ED43" s="4">
        <f>ROUND(SUMIF(AA24:AA41,"=91261331",Y24:Y41),0)</f>
        <v>0</v>
      </c>
      <c r="EE43" s="4"/>
      <c r="EF43" s="4"/>
      <c r="EG43" s="4">
        <f t="shared" ref="EG43:EV43" si="56">ROUND(FP43,0)</f>
        <v>0</v>
      </c>
      <c r="EH43" s="4">
        <f t="shared" si="56"/>
        <v>0</v>
      </c>
      <c r="EI43" s="4">
        <f t="shared" si="56"/>
        <v>0</v>
      </c>
      <c r="EJ43" s="4">
        <f t="shared" si="56"/>
        <v>3692</v>
      </c>
      <c r="EK43" s="4">
        <f t="shared" si="56"/>
        <v>3692</v>
      </c>
      <c r="EL43" s="4">
        <f t="shared" si="56"/>
        <v>0</v>
      </c>
      <c r="EM43" s="4">
        <f t="shared" si="56"/>
        <v>0</v>
      </c>
      <c r="EN43" s="4">
        <f t="shared" si="56"/>
        <v>3692</v>
      </c>
      <c r="EO43" s="4">
        <f t="shared" si="56"/>
        <v>3692</v>
      </c>
      <c r="EP43" s="4">
        <f t="shared" si="56"/>
        <v>0</v>
      </c>
      <c r="EQ43" s="4">
        <f t="shared" si="56"/>
        <v>3692</v>
      </c>
      <c r="ER43" s="4">
        <f t="shared" si="56"/>
        <v>0</v>
      </c>
      <c r="ES43" s="4">
        <f t="shared" si="56"/>
        <v>0</v>
      </c>
      <c r="ET43" s="4">
        <f t="shared" si="56"/>
        <v>0</v>
      </c>
      <c r="EU43" s="4">
        <f t="shared" si="56"/>
        <v>0</v>
      </c>
      <c r="EV43" s="4">
        <f t="shared" si="56"/>
        <v>0</v>
      </c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>
        <f>ROUND(SUMIF(AA24:AA41,"=91261331",FQ24:FQ41),0)</f>
        <v>0</v>
      </c>
      <c r="FQ43" s="4">
        <f>ROUND(SUMIF(AA24:AA41,"=91261331",FR24:FR41),0)</f>
        <v>0</v>
      </c>
      <c r="FR43" s="4">
        <f>ROUND(SUMIF(AA24:AA41,"=91261331",GL24:GL41),0)</f>
        <v>0</v>
      </c>
      <c r="FS43" s="4">
        <f>ROUND(SUMIF(AA24:AA41,"=91261331",GM24:GM41),0)</f>
        <v>3692</v>
      </c>
      <c r="FT43" s="4">
        <f>ROUND(SUMIF(AA24:AA41,"=91261331",GN24:GN41),0)</f>
        <v>3692</v>
      </c>
      <c r="FU43" s="4">
        <f>ROUND(SUMIF(AA24:AA41,"=91261331",GO24:GO41),0)</f>
        <v>0</v>
      </c>
      <c r="FV43" s="4">
        <f>ROUND(SUMIF(AA24:AA41,"=91261331",GP24:GP41),0)</f>
        <v>0</v>
      </c>
      <c r="FW43" s="4">
        <f>DU43-FP43</f>
        <v>3692</v>
      </c>
      <c r="FX43" s="4">
        <f>DU43-FQ43</f>
        <v>3692</v>
      </c>
      <c r="FY43" s="4">
        <f>FP43-FR43</f>
        <v>0</v>
      </c>
      <c r="FZ43" s="4">
        <f>DU43-FP43-FQ43+FR43</f>
        <v>3692</v>
      </c>
      <c r="GA43" s="4">
        <f>FQ43-FR43</f>
        <v>0</v>
      </c>
      <c r="GB43" s="4">
        <f>ROUND(SUMIF(AA24:AA41,"=91261331",GX24:GX41),0)</f>
        <v>0</v>
      </c>
      <c r="GC43" s="4">
        <f>ROUND(SUMIF(AA24:AA41,"=91261331",GY24:GY41),0)</f>
        <v>0</v>
      </c>
      <c r="GD43" s="4">
        <f>ROUND(SUMIF(AA24:AA41,"=91261331",GZ24:GZ41),0)</f>
        <v>0</v>
      </c>
      <c r="GE43" s="4">
        <f>ROUND(SUMIF(AA24:AA41,"=91261331",HD24:HD41),0)</f>
        <v>0</v>
      </c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>
        <v>0</v>
      </c>
      <c r="IF43">
        <v>-1</v>
      </c>
    </row>
    <row r="44" spans="1:255" x14ac:dyDescent="0.2">
      <c r="IF44">
        <v>-1</v>
      </c>
    </row>
    <row r="45" spans="1:255" x14ac:dyDescent="0.2">
      <c r="A45" s="5">
        <v>50</v>
      </c>
      <c r="B45" s="5">
        <v>0</v>
      </c>
      <c r="C45" s="5">
        <v>0</v>
      </c>
      <c r="D45" s="5">
        <v>1</v>
      </c>
      <c r="E45" s="5">
        <v>201</v>
      </c>
      <c r="F45" s="5">
        <f>ROUND(Source!O43,O45)</f>
        <v>526</v>
      </c>
      <c r="G45" s="5" t="s">
        <v>87</v>
      </c>
      <c r="H45" s="5" t="s">
        <v>88</v>
      </c>
      <c r="I45" s="5"/>
      <c r="J45" s="5"/>
      <c r="K45" s="5">
        <v>201</v>
      </c>
      <c r="L45" s="5">
        <v>1</v>
      </c>
      <c r="M45" s="5">
        <v>3</v>
      </c>
      <c r="N45" s="5" t="s">
        <v>3</v>
      </c>
      <c r="O45" s="5">
        <v>0</v>
      </c>
      <c r="P45" s="5">
        <f>ROUND(Source!DG43,O45)</f>
        <v>3692</v>
      </c>
      <c r="Q45" s="5"/>
      <c r="R45" s="5"/>
      <c r="S45" s="5"/>
      <c r="T45" s="5"/>
      <c r="U45" s="5"/>
      <c r="V45" s="5"/>
      <c r="W45" s="5">
        <v>526</v>
      </c>
      <c r="X45" s="5">
        <v>1</v>
      </c>
      <c r="Y45" s="5">
        <v>526</v>
      </c>
      <c r="Z45" s="5">
        <v>5745</v>
      </c>
      <c r="AA45" s="5">
        <v>1</v>
      </c>
      <c r="AB45" s="5">
        <v>5745</v>
      </c>
      <c r="IF45">
        <v>-1</v>
      </c>
    </row>
    <row r="46" spans="1:255" x14ac:dyDescent="0.2">
      <c r="A46" s="5">
        <v>50</v>
      </c>
      <c r="B46" s="5">
        <v>0</v>
      </c>
      <c r="C46" s="5">
        <v>0</v>
      </c>
      <c r="D46" s="5">
        <v>1</v>
      </c>
      <c r="E46" s="5">
        <v>202</v>
      </c>
      <c r="F46" s="5">
        <f>ROUND(Source!P43,O46)</f>
        <v>469</v>
      </c>
      <c r="G46" s="5" t="s">
        <v>89</v>
      </c>
      <c r="H46" s="5" t="s">
        <v>90</v>
      </c>
      <c r="I46" s="5"/>
      <c r="J46" s="5"/>
      <c r="K46" s="5">
        <v>202</v>
      </c>
      <c r="L46" s="5">
        <v>2</v>
      </c>
      <c r="M46" s="5">
        <v>3</v>
      </c>
      <c r="N46" s="5" t="s">
        <v>3</v>
      </c>
      <c r="O46" s="5">
        <v>0</v>
      </c>
      <c r="P46" s="5">
        <f>ROUND(Source!DH43,O46)</f>
        <v>3692</v>
      </c>
      <c r="Q46" s="5"/>
      <c r="R46" s="5"/>
      <c r="S46" s="5"/>
      <c r="T46" s="5"/>
      <c r="U46" s="5"/>
      <c r="V46" s="5"/>
      <c r="W46" s="5">
        <v>469</v>
      </c>
      <c r="X46" s="5">
        <v>1</v>
      </c>
      <c r="Y46" s="5">
        <v>469</v>
      </c>
      <c r="Z46" s="5">
        <v>3692</v>
      </c>
      <c r="AA46" s="5">
        <v>1</v>
      </c>
      <c r="AB46" s="5">
        <v>3692</v>
      </c>
      <c r="IF46">
        <v>-1</v>
      </c>
    </row>
    <row r="47" spans="1:255" x14ac:dyDescent="0.2">
      <c r="A47" s="5">
        <v>50</v>
      </c>
      <c r="B47" s="5">
        <v>0</v>
      </c>
      <c r="C47" s="5">
        <v>0</v>
      </c>
      <c r="D47" s="5">
        <v>1</v>
      </c>
      <c r="E47" s="5">
        <v>222</v>
      </c>
      <c r="F47" s="5">
        <f>ROUND(Source!AO43,O47)</f>
        <v>0</v>
      </c>
      <c r="G47" s="5" t="s">
        <v>91</v>
      </c>
      <c r="H47" s="5" t="s">
        <v>92</v>
      </c>
      <c r="I47" s="5"/>
      <c r="J47" s="5"/>
      <c r="K47" s="5">
        <v>222</v>
      </c>
      <c r="L47" s="5">
        <v>3</v>
      </c>
      <c r="M47" s="5">
        <v>3</v>
      </c>
      <c r="N47" s="5" t="s">
        <v>3</v>
      </c>
      <c r="O47" s="5">
        <v>0</v>
      </c>
      <c r="P47" s="5">
        <f>ROUND(Source!EG43,O47)</f>
        <v>0</v>
      </c>
      <c r="Q47" s="5"/>
      <c r="R47" s="5"/>
      <c r="S47" s="5"/>
      <c r="T47" s="5"/>
      <c r="U47" s="5"/>
      <c r="V47" s="5"/>
      <c r="W47" s="5">
        <v>0</v>
      </c>
      <c r="X47" s="5">
        <v>1</v>
      </c>
      <c r="Y47" s="5">
        <v>0</v>
      </c>
      <c r="Z47" s="5">
        <v>0</v>
      </c>
      <c r="AA47" s="5">
        <v>1</v>
      </c>
      <c r="AB47" s="5">
        <v>0</v>
      </c>
      <c r="IF47">
        <v>-1</v>
      </c>
    </row>
    <row r="48" spans="1:255" x14ac:dyDescent="0.2">
      <c r="A48" s="5">
        <v>50</v>
      </c>
      <c r="B48" s="5">
        <v>0</v>
      </c>
      <c r="C48" s="5">
        <v>0</v>
      </c>
      <c r="D48" s="5">
        <v>1</v>
      </c>
      <c r="E48" s="5">
        <v>225</v>
      </c>
      <c r="F48" s="5">
        <f>ROUND(Source!AV43,O48)</f>
        <v>469</v>
      </c>
      <c r="G48" s="5" t="s">
        <v>93</v>
      </c>
      <c r="H48" s="5" t="s">
        <v>94</v>
      </c>
      <c r="I48" s="5"/>
      <c r="J48" s="5"/>
      <c r="K48" s="5">
        <v>225</v>
      </c>
      <c r="L48" s="5">
        <v>4</v>
      </c>
      <c r="M48" s="5">
        <v>3</v>
      </c>
      <c r="N48" s="5" t="s">
        <v>3</v>
      </c>
      <c r="O48" s="5">
        <v>0</v>
      </c>
      <c r="P48" s="5">
        <f>ROUND(Source!EN43,O48)</f>
        <v>3692</v>
      </c>
      <c r="Q48" s="5"/>
      <c r="R48" s="5"/>
      <c r="S48" s="5"/>
      <c r="T48" s="5"/>
      <c r="U48" s="5"/>
      <c r="V48" s="5"/>
      <c r="W48" s="5">
        <v>469</v>
      </c>
      <c r="X48" s="5">
        <v>1</v>
      </c>
      <c r="Y48" s="5">
        <v>469</v>
      </c>
      <c r="Z48" s="5">
        <v>3692</v>
      </c>
      <c r="AA48" s="5">
        <v>1</v>
      </c>
      <c r="AB48" s="5">
        <v>3692</v>
      </c>
      <c r="IF48">
        <v>-1</v>
      </c>
    </row>
    <row r="49" spans="1:240" x14ac:dyDescent="0.2">
      <c r="A49" s="5">
        <v>50</v>
      </c>
      <c r="B49" s="5">
        <v>0</v>
      </c>
      <c r="C49" s="5">
        <v>0</v>
      </c>
      <c r="D49" s="5">
        <v>1</v>
      </c>
      <c r="E49" s="5">
        <v>226</v>
      </c>
      <c r="F49" s="5">
        <f>ROUND(Source!AW43,O49)</f>
        <v>469</v>
      </c>
      <c r="G49" s="5" t="s">
        <v>95</v>
      </c>
      <c r="H49" s="5" t="s">
        <v>96</v>
      </c>
      <c r="I49" s="5"/>
      <c r="J49" s="5"/>
      <c r="K49" s="5">
        <v>226</v>
      </c>
      <c r="L49" s="5">
        <v>5</v>
      </c>
      <c r="M49" s="5">
        <v>3</v>
      </c>
      <c r="N49" s="5" t="s">
        <v>3</v>
      </c>
      <c r="O49" s="5">
        <v>0</v>
      </c>
      <c r="P49" s="5">
        <f>ROUND(Source!EO43,O49)</f>
        <v>3692</v>
      </c>
      <c r="Q49" s="5"/>
      <c r="R49" s="5"/>
      <c r="S49" s="5"/>
      <c r="T49" s="5"/>
      <c r="U49" s="5"/>
      <c r="V49" s="5"/>
      <c r="W49" s="5">
        <v>469</v>
      </c>
      <c r="X49" s="5">
        <v>1</v>
      </c>
      <c r="Y49" s="5">
        <v>469</v>
      </c>
      <c r="Z49" s="5">
        <v>3692</v>
      </c>
      <c r="AA49" s="5">
        <v>1</v>
      </c>
      <c r="AB49" s="5">
        <v>3692</v>
      </c>
      <c r="IF49">
        <v>-1</v>
      </c>
    </row>
    <row r="50" spans="1:240" x14ac:dyDescent="0.2">
      <c r="A50" s="5">
        <v>50</v>
      </c>
      <c r="B50" s="5">
        <v>0</v>
      </c>
      <c r="C50" s="5">
        <v>0</v>
      </c>
      <c r="D50" s="5">
        <v>1</v>
      </c>
      <c r="E50" s="5">
        <v>227</v>
      </c>
      <c r="F50" s="5">
        <f>ROUND(Source!AX43,O50)</f>
        <v>0</v>
      </c>
      <c r="G50" s="5" t="s">
        <v>97</v>
      </c>
      <c r="H50" s="5" t="s">
        <v>98</v>
      </c>
      <c r="I50" s="5"/>
      <c r="J50" s="5"/>
      <c r="K50" s="5">
        <v>227</v>
      </c>
      <c r="L50" s="5">
        <v>6</v>
      </c>
      <c r="M50" s="5">
        <v>3</v>
      </c>
      <c r="N50" s="5" t="s">
        <v>3</v>
      </c>
      <c r="O50" s="5">
        <v>0</v>
      </c>
      <c r="P50" s="5">
        <f>ROUND(Source!EP43,O50)</f>
        <v>0</v>
      </c>
      <c r="Q50" s="5"/>
      <c r="R50" s="5"/>
      <c r="S50" s="5"/>
      <c r="T50" s="5"/>
      <c r="U50" s="5"/>
      <c r="V50" s="5"/>
      <c r="W50" s="5">
        <v>0</v>
      </c>
      <c r="X50" s="5">
        <v>1</v>
      </c>
      <c r="Y50" s="5">
        <v>0</v>
      </c>
      <c r="Z50" s="5">
        <v>0</v>
      </c>
      <c r="AA50" s="5">
        <v>1</v>
      </c>
      <c r="AB50" s="5">
        <v>0</v>
      </c>
      <c r="IF50">
        <v>-1</v>
      </c>
    </row>
    <row r="51" spans="1:240" x14ac:dyDescent="0.2">
      <c r="A51" s="5">
        <v>50</v>
      </c>
      <c r="B51" s="5">
        <v>0</v>
      </c>
      <c r="C51" s="5">
        <v>0</v>
      </c>
      <c r="D51" s="5">
        <v>1</v>
      </c>
      <c r="E51" s="5">
        <v>228</v>
      </c>
      <c r="F51" s="5">
        <f>ROUND(Source!AY43,O51)</f>
        <v>469</v>
      </c>
      <c r="G51" s="5" t="s">
        <v>99</v>
      </c>
      <c r="H51" s="5" t="s">
        <v>100</v>
      </c>
      <c r="I51" s="5"/>
      <c r="J51" s="5"/>
      <c r="K51" s="5">
        <v>228</v>
      </c>
      <c r="L51" s="5">
        <v>7</v>
      </c>
      <c r="M51" s="5">
        <v>3</v>
      </c>
      <c r="N51" s="5" t="s">
        <v>3</v>
      </c>
      <c r="O51" s="5">
        <v>0</v>
      </c>
      <c r="P51" s="5">
        <f>ROUND(Source!EQ43,O51)</f>
        <v>3692</v>
      </c>
      <c r="Q51" s="5"/>
      <c r="R51" s="5"/>
      <c r="S51" s="5"/>
      <c r="T51" s="5"/>
      <c r="U51" s="5"/>
      <c r="V51" s="5"/>
      <c r="W51" s="5">
        <v>469</v>
      </c>
      <c r="X51" s="5">
        <v>1</v>
      </c>
      <c r="Y51" s="5">
        <v>469</v>
      </c>
      <c r="Z51" s="5">
        <v>3692</v>
      </c>
      <c r="AA51" s="5">
        <v>1</v>
      </c>
      <c r="AB51" s="5">
        <v>3692</v>
      </c>
      <c r="IF51">
        <v>-1</v>
      </c>
    </row>
    <row r="52" spans="1:240" x14ac:dyDescent="0.2">
      <c r="A52" s="5">
        <v>50</v>
      </c>
      <c r="B52" s="5">
        <v>0</v>
      </c>
      <c r="C52" s="5">
        <v>0</v>
      </c>
      <c r="D52" s="5">
        <v>1</v>
      </c>
      <c r="E52" s="5">
        <v>216</v>
      </c>
      <c r="F52" s="5">
        <f>ROUND(Source!AP43,O52)</f>
        <v>0</v>
      </c>
      <c r="G52" s="5" t="s">
        <v>101</v>
      </c>
      <c r="H52" s="5" t="s">
        <v>102</v>
      </c>
      <c r="I52" s="5"/>
      <c r="J52" s="5"/>
      <c r="K52" s="5">
        <v>216</v>
      </c>
      <c r="L52" s="5">
        <v>8</v>
      </c>
      <c r="M52" s="5">
        <v>3</v>
      </c>
      <c r="N52" s="5" t="s">
        <v>3</v>
      </c>
      <c r="O52" s="5">
        <v>0</v>
      </c>
      <c r="P52" s="5">
        <f>ROUND(Source!EH43,O52)</f>
        <v>0</v>
      </c>
      <c r="Q52" s="5"/>
      <c r="R52" s="5"/>
      <c r="S52" s="5"/>
      <c r="T52" s="5"/>
      <c r="U52" s="5"/>
      <c r="V52" s="5"/>
      <c r="W52" s="5">
        <v>0</v>
      </c>
      <c r="X52" s="5">
        <v>1</v>
      </c>
      <c r="Y52" s="5">
        <v>0</v>
      </c>
      <c r="Z52" s="5">
        <v>0</v>
      </c>
      <c r="AA52" s="5">
        <v>1</v>
      </c>
      <c r="AB52" s="5">
        <v>0</v>
      </c>
      <c r="IF52">
        <v>-1</v>
      </c>
    </row>
    <row r="53" spans="1:240" x14ac:dyDescent="0.2">
      <c r="A53" s="5">
        <v>50</v>
      </c>
      <c r="B53" s="5">
        <v>0</v>
      </c>
      <c r="C53" s="5">
        <v>0</v>
      </c>
      <c r="D53" s="5">
        <v>1</v>
      </c>
      <c r="E53" s="5">
        <v>223</v>
      </c>
      <c r="F53" s="5">
        <f>ROUND(Source!AQ43,O53)</f>
        <v>0</v>
      </c>
      <c r="G53" s="5" t="s">
        <v>103</v>
      </c>
      <c r="H53" s="5" t="s">
        <v>104</v>
      </c>
      <c r="I53" s="5"/>
      <c r="J53" s="5"/>
      <c r="K53" s="5">
        <v>223</v>
      </c>
      <c r="L53" s="5">
        <v>9</v>
      </c>
      <c r="M53" s="5">
        <v>3</v>
      </c>
      <c r="N53" s="5" t="s">
        <v>3</v>
      </c>
      <c r="O53" s="5">
        <v>0</v>
      </c>
      <c r="P53" s="5">
        <f>ROUND(Source!EI43,O53)</f>
        <v>0</v>
      </c>
      <c r="Q53" s="5"/>
      <c r="R53" s="5"/>
      <c r="S53" s="5"/>
      <c r="T53" s="5"/>
      <c r="U53" s="5"/>
      <c r="V53" s="5"/>
      <c r="W53" s="5">
        <v>0</v>
      </c>
      <c r="X53" s="5">
        <v>1</v>
      </c>
      <c r="Y53" s="5">
        <v>0</v>
      </c>
      <c r="Z53" s="5">
        <v>0</v>
      </c>
      <c r="AA53" s="5">
        <v>1</v>
      </c>
      <c r="AB53" s="5">
        <v>0</v>
      </c>
      <c r="IF53">
        <v>-1</v>
      </c>
    </row>
    <row r="54" spans="1:240" x14ac:dyDescent="0.2">
      <c r="A54" s="5">
        <v>50</v>
      </c>
      <c r="B54" s="5">
        <v>0</v>
      </c>
      <c r="C54" s="5">
        <v>0</v>
      </c>
      <c r="D54" s="5">
        <v>1</v>
      </c>
      <c r="E54" s="5">
        <v>229</v>
      </c>
      <c r="F54" s="5">
        <f>ROUND(Source!AZ43,O54)</f>
        <v>0</v>
      </c>
      <c r="G54" s="5" t="s">
        <v>105</v>
      </c>
      <c r="H54" s="5" t="s">
        <v>106</v>
      </c>
      <c r="I54" s="5"/>
      <c r="J54" s="5"/>
      <c r="K54" s="5">
        <v>229</v>
      </c>
      <c r="L54" s="5">
        <v>10</v>
      </c>
      <c r="M54" s="5">
        <v>3</v>
      </c>
      <c r="N54" s="5" t="s">
        <v>3</v>
      </c>
      <c r="O54" s="5">
        <v>0</v>
      </c>
      <c r="P54" s="5">
        <f>ROUND(Source!ER43,O54)</f>
        <v>0</v>
      </c>
      <c r="Q54" s="5"/>
      <c r="R54" s="5"/>
      <c r="S54" s="5"/>
      <c r="T54" s="5"/>
      <c r="U54" s="5"/>
      <c r="V54" s="5"/>
      <c r="W54" s="5">
        <v>0</v>
      </c>
      <c r="X54" s="5">
        <v>1</v>
      </c>
      <c r="Y54" s="5">
        <v>0</v>
      </c>
      <c r="Z54" s="5">
        <v>0</v>
      </c>
      <c r="AA54" s="5">
        <v>1</v>
      </c>
      <c r="AB54" s="5">
        <v>0</v>
      </c>
      <c r="IF54">
        <v>-1</v>
      </c>
    </row>
    <row r="55" spans="1:240" x14ac:dyDescent="0.2">
      <c r="A55" s="5">
        <v>50</v>
      </c>
      <c r="B55" s="5">
        <v>0</v>
      </c>
      <c r="C55" s="5">
        <v>0</v>
      </c>
      <c r="D55" s="5">
        <v>1</v>
      </c>
      <c r="E55" s="5">
        <v>203</v>
      </c>
      <c r="F55" s="5">
        <f>ROUND(Source!Q43,O55)</f>
        <v>2</v>
      </c>
      <c r="G55" s="5" t="s">
        <v>107</v>
      </c>
      <c r="H55" s="5" t="s">
        <v>108</v>
      </c>
      <c r="I55" s="5"/>
      <c r="J55" s="5"/>
      <c r="K55" s="5">
        <v>203</v>
      </c>
      <c r="L55" s="5">
        <v>11</v>
      </c>
      <c r="M55" s="5">
        <v>3</v>
      </c>
      <c r="N55" s="5" t="s">
        <v>3</v>
      </c>
      <c r="O55" s="5">
        <v>0</v>
      </c>
      <c r="P55" s="5">
        <f>ROUND(Source!DI43,O55)</f>
        <v>0</v>
      </c>
      <c r="Q55" s="5"/>
      <c r="R55" s="5"/>
      <c r="S55" s="5"/>
      <c r="T55" s="5"/>
      <c r="U55" s="5"/>
      <c r="V55" s="5"/>
      <c r="W55" s="5">
        <v>2</v>
      </c>
      <c r="X55" s="5">
        <v>1</v>
      </c>
      <c r="Y55" s="5">
        <v>2</v>
      </c>
      <c r="Z55" s="5">
        <v>26</v>
      </c>
      <c r="AA55" s="5">
        <v>1</v>
      </c>
      <c r="AB55" s="5">
        <v>26</v>
      </c>
      <c r="IF55">
        <v>-1</v>
      </c>
    </row>
    <row r="56" spans="1:240" x14ac:dyDescent="0.2">
      <c r="A56" s="5">
        <v>50</v>
      </c>
      <c r="B56" s="5">
        <v>0</v>
      </c>
      <c r="C56" s="5">
        <v>0</v>
      </c>
      <c r="D56" s="5">
        <v>1</v>
      </c>
      <c r="E56" s="5">
        <v>231</v>
      </c>
      <c r="F56" s="5">
        <f>ROUND(Source!BB43,O56)</f>
        <v>0</v>
      </c>
      <c r="G56" s="5" t="s">
        <v>109</v>
      </c>
      <c r="H56" s="5" t="s">
        <v>110</v>
      </c>
      <c r="I56" s="5"/>
      <c r="J56" s="5"/>
      <c r="K56" s="5">
        <v>231</v>
      </c>
      <c r="L56" s="5">
        <v>12</v>
      </c>
      <c r="M56" s="5">
        <v>3</v>
      </c>
      <c r="N56" s="5" t="s">
        <v>3</v>
      </c>
      <c r="O56" s="5">
        <v>0</v>
      </c>
      <c r="P56" s="5">
        <f>ROUND(Source!ET43,O56)</f>
        <v>0</v>
      </c>
      <c r="Q56" s="5"/>
      <c r="R56" s="5"/>
      <c r="S56" s="5"/>
      <c r="T56" s="5"/>
      <c r="U56" s="5"/>
      <c r="V56" s="5"/>
      <c r="W56" s="5">
        <v>0</v>
      </c>
      <c r="X56" s="5">
        <v>1</v>
      </c>
      <c r="Y56" s="5">
        <v>0</v>
      </c>
      <c r="Z56" s="5">
        <v>0</v>
      </c>
      <c r="AA56" s="5">
        <v>1</v>
      </c>
      <c r="AB56" s="5">
        <v>0</v>
      </c>
      <c r="IF56">
        <v>-1</v>
      </c>
    </row>
    <row r="57" spans="1:240" x14ac:dyDescent="0.2">
      <c r="A57" s="5">
        <v>50</v>
      </c>
      <c r="B57" s="5">
        <v>0</v>
      </c>
      <c r="C57" s="5">
        <v>0</v>
      </c>
      <c r="D57" s="5">
        <v>1</v>
      </c>
      <c r="E57" s="5">
        <v>204</v>
      </c>
      <c r="F57" s="5">
        <f>ROUND(Source!R43,O57)</f>
        <v>1</v>
      </c>
      <c r="G57" s="5" t="s">
        <v>111</v>
      </c>
      <c r="H57" s="5" t="s">
        <v>112</v>
      </c>
      <c r="I57" s="5"/>
      <c r="J57" s="5"/>
      <c r="K57" s="5">
        <v>204</v>
      </c>
      <c r="L57" s="5">
        <v>13</v>
      </c>
      <c r="M57" s="5">
        <v>3</v>
      </c>
      <c r="N57" s="5" t="s">
        <v>3</v>
      </c>
      <c r="O57" s="5">
        <v>0</v>
      </c>
      <c r="P57" s="5">
        <f>ROUND(Source!DJ43,O57)</f>
        <v>0</v>
      </c>
      <c r="Q57" s="5"/>
      <c r="R57" s="5"/>
      <c r="S57" s="5"/>
      <c r="T57" s="5"/>
      <c r="U57" s="5"/>
      <c r="V57" s="5"/>
      <c r="W57" s="5">
        <v>1</v>
      </c>
      <c r="X57" s="5">
        <v>1</v>
      </c>
      <c r="Y57" s="5">
        <v>1</v>
      </c>
      <c r="Z57" s="5">
        <v>22</v>
      </c>
      <c r="AA57" s="5">
        <v>1</v>
      </c>
      <c r="AB57" s="5">
        <v>22</v>
      </c>
      <c r="IF57">
        <v>-1</v>
      </c>
    </row>
    <row r="58" spans="1:240" x14ac:dyDescent="0.2">
      <c r="A58" s="5">
        <v>50</v>
      </c>
      <c r="B58" s="5">
        <v>0</v>
      </c>
      <c r="C58" s="5">
        <v>0</v>
      </c>
      <c r="D58" s="5">
        <v>1</v>
      </c>
      <c r="E58" s="5">
        <v>205</v>
      </c>
      <c r="F58" s="5">
        <f>ROUND(Source!S43,O58)</f>
        <v>55</v>
      </c>
      <c r="G58" s="5" t="s">
        <v>113</v>
      </c>
      <c r="H58" s="5" t="s">
        <v>114</v>
      </c>
      <c r="I58" s="5"/>
      <c r="J58" s="5"/>
      <c r="K58" s="5">
        <v>205</v>
      </c>
      <c r="L58" s="5">
        <v>14</v>
      </c>
      <c r="M58" s="5">
        <v>3</v>
      </c>
      <c r="N58" s="5" t="s">
        <v>3</v>
      </c>
      <c r="O58" s="5">
        <v>0</v>
      </c>
      <c r="P58" s="5">
        <f>ROUND(Source!DK43,O58)</f>
        <v>0</v>
      </c>
      <c r="Q58" s="5"/>
      <c r="R58" s="5"/>
      <c r="S58" s="5"/>
      <c r="T58" s="5"/>
      <c r="U58" s="5"/>
      <c r="V58" s="5"/>
      <c r="W58" s="5">
        <v>55</v>
      </c>
      <c r="X58" s="5">
        <v>1</v>
      </c>
      <c r="Y58" s="5">
        <v>55</v>
      </c>
      <c r="Z58" s="5">
        <v>2027</v>
      </c>
      <c r="AA58" s="5">
        <v>1</v>
      </c>
      <c r="AB58" s="5">
        <v>2027</v>
      </c>
      <c r="IF58">
        <v>-1</v>
      </c>
    </row>
    <row r="59" spans="1:240" x14ac:dyDescent="0.2">
      <c r="A59" s="5">
        <v>50</v>
      </c>
      <c r="B59" s="5">
        <v>0</v>
      </c>
      <c r="C59" s="5">
        <v>0</v>
      </c>
      <c r="D59" s="5">
        <v>1</v>
      </c>
      <c r="E59" s="5">
        <v>232</v>
      </c>
      <c r="F59" s="5">
        <f>ROUND(Source!BC43,O59)</f>
        <v>0</v>
      </c>
      <c r="G59" s="5" t="s">
        <v>115</v>
      </c>
      <c r="H59" s="5" t="s">
        <v>116</v>
      </c>
      <c r="I59" s="5"/>
      <c r="J59" s="5"/>
      <c r="K59" s="5">
        <v>232</v>
      </c>
      <c r="L59" s="5">
        <v>15</v>
      </c>
      <c r="M59" s="5">
        <v>3</v>
      </c>
      <c r="N59" s="5" t="s">
        <v>3</v>
      </c>
      <c r="O59" s="5">
        <v>0</v>
      </c>
      <c r="P59" s="5">
        <f>ROUND(Source!EU43,O59)</f>
        <v>0</v>
      </c>
      <c r="Q59" s="5"/>
      <c r="R59" s="5"/>
      <c r="S59" s="5"/>
      <c r="T59" s="5"/>
      <c r="U59" s="5"/>
      <c r="V59" s="5"/>
      <c r="W59" s="5">
        <v>0</v>
      </c>
      <c r="X59" s="5">
        <v>1</v>
      </c>
      <c r="Y59" s="5">
        <v>0</v>
      </c>
      <c r="Z59" s="5">
        <v>0</v>
      </c>
      <c r="AA59" s="5">
        <v>1</v>
      </c>
      <c r="AB59" s="5">
        <v>0</v>
      </c>
      <c r="IF59">
        <v>-1</v>
      </c>
    </row>
    <row r="60" spans="1:240" x14ac:dyDescent="0.2">
      <c r="A60" s="5">
        <v>50</v>
      </c>
      <c r="B60" s="5">
        <v>0</v>
      </c>
      <c r="C60" s="5">
        <v>0</v>
      </c>
      <c r="D60" s="5">
        <v>1</v>
      </c>
      <c r="E60" s="5">
        <v>214</v>
      </c>
      <c r="F60" s="5">
        <f>ROUND(Source!AS43,O60)</f>
        <v>608</v>
      </c>
      <c r="G60" s="5" t="s">
        <v>117</v>
      </c>
      <c r="H60" s="5" t="s">
        <v>118</v>
      </c>
      <c r="I60" s="5"/>
      <c r="J60" s="5"/>
      <c r="K60" s="5">
        <v>214</v>
      </c>
      <c r="L60" s="5">
        <v>16</v>
      </c>
      <c r="M60" s="5">
        <v>3</v>
      </c>
      <c r="N60" s="5" t="s">
        <v>3</v>
      </c>
      <c r="O60" s="5">
        <v>0</v>
      </c>
      <c r="P60" s="5">
        <f>ROUND(Source!EK43,O60)</f>
        <v>3692</v>
      </c>
      <c r="Q60" s="5"/>
      <c r="R60" s="5"/>
      <c r="S60" s="5"/>
      <c r="T60" s="5"/>
      <c r="U60" s="5"/>
      <c r="V60" s="5"/>
      <c r="W60" s="5">
        <v>608</v>
      </c>
      <c r="X60" s="5">
        <v>1</v>
      </c>
      <c r="Y60" s="5">
        <v>608</v>
      </c>
      <c r="Z60" s="5">
        <v>8759</v>
      </c>
      <c r="AA60" s="5">
        <v>1</v>
      </c>
      <c r="AB60" s="5">
        <v>8759</v>
      </c>
      <c r="IF60">
        <v>-1</v>
      </c>
    </row>
    <row r="61" spans="1:240" x14ac:dyDescent="0.2">
      <c r="A61" s="5">
        <v>50</v>
      </c>
      <c r="B61" s="5">
        <v>0</v>
      </c>
      <c r="C61" s="5">
        <v>0</v>
      </c>
      <c r="D61" s="5">
        <v>1</v>
      </c>
      <c r="E61" s="5">
        <v>215</v>
      </c>
      <c r="F61" s="5">
        <f>ROUND(Source!AT43,O61)</f>
        <v>0</v>
      </c>
      <c r="G61" s="5" t="s">
        <v>119</v>
      </c>
      <c r="H61" s="5" t="s">
        <v>120</v>
      </c>
      <c r="I61" s="5"/>
      <c r="J61" s="5"/>
      <c r="K61" s="5">
        <v>215</v>
      </c>
      <c r="L61" s="5">
        <v>17</v>
      </c>
      <c r="M61" s="5">
        <v>3</v>
      </c>
      <c r="N61" s="5" t="s">
        <v>3</v>
      </c>
      <c r="O61" s="5">
        <v>0</v>
      </c>
      <c r="P61" s="5">
        <f>ROUND(Source!EL43,O61)</f>
        <v>0</v>
      </c>
      <c r="Q61" s="5"/>
      <c r="R61" s="5"/>
      <c r="S61" s="5"/>
      <c r="T61" s="5"/>
      <c r="U61" s="5"/>
      <c r="V61" s="5"/>
      <c r="W61" s="5">
        <v>0</v>
      </c>
      <c r="X61" s="5">
        <v>1</v>
      </c>
      <c r="Y61" s="5">
        <v>0</v>
      </c>
      <c r="Z61" s="5">
        <v>0</v>
      </c>
      <c r="AA61" s="5">
        <v>1</v>
      </c>
      <c r="AB61" s="5">
        <v>0</v>
      </c>
      <c r="IF61">
        <v>-1</v>
      </c>
    </row>
    <row r="62" spans="1:240" x14ac:dyDescent="0.2">
      <c r="A62" s="5">
        <v>50</v>
      </c>
      <c r="B62" s="5">
        <v>0</v>
      </c>
      <c r="C62" s="5">
        <v>0</v>
      </c>
      <c r="D62" s="5">
        <v>1</v>
      </c>
      <c r="E62" s="5">
        <v>217</v>
      </c>
      <c r="F62" s="5">
        <f>ROUND(Source!AU43,O62)</f>
        <v>0</v>
      </c>
      <c r="G62" s="5" t="s">
        <v>121</v>
      </c>
      <c r="H62" s="5" t="s">
        <v>122</v>
      </c>
      <c r="I62" s="5"/>
      <c r="J62" s="5"/>
      <c r="K62" s="5">
        <v>217</v>
      </c>
      <c r="L62" s="5">
        <v>18</v>
      </c>
      <c r="M62" s="5">
        <v>3</v>
      </c>
      <c r="N62" s="5" t="s">
        <v>3</v>
      </c>
      <c r="O62" s="5">
        <v>0</v>
      </c>
      <c r="P62" s="5">
        <f>ROUND(Source!EM43,O62)</f>
        <v>0</v>
      </c>
      <c r="Q62" s="5"/>
      <c r="R62" s="5"/>
      <c r="S62" s="5"/>
      <c r="T62" s="5"/>
      <c r="U62" s="5"/>
      <c r="V62" s="5"/>
      <c r="W62" s="5">
        <v>0</v>
      </c>
      <c r="X62" s="5">
        <v>1</v>
      </c>
      <c r="Y62" s="5">
        <v>0</v>
      </c>
      <c r="Z62" s="5">
        <v>0</v>
      </c>
      <c r="AA62" s="5">
        <v>1</v>
      </c>
      <c r="AB62" s="5">
        <v>0</v>
      </c>
      <c r="IF62">
        <v>-1</v>
      </c>
    </row>
    <row r="63" spans="1:240" x14ac:dyDescent="0.2">
      <c r="A63" s="5">
        <v>50</v>
      </c>
      <c r="B63" s="5">
        <v>0</v>
      </c>
      <c r="C63" s="5">
        <v>0</v>
      </c>
      <c r="D63" s="5">
        <v>1</v>
      </c>
      <c r="E63" s="5">
        <v>230</v>
      </c>
      <c r="F63" s="5">
        <f>ROUND(Source!BA43,O63)</f>
        <v>0</v>
      </c>
      <c r="G63" s="5" t="s">
        <v>123</v>
      </c>
      <c r="H63" s="5" t="s">
        <v>124</v>
      </c>
      <c r="I63" s="5"/>
      <c r="J63" s="5"/>
      <c r="K63" s="5">
        <v>230</v>
      </c>
      <c r="L63" s="5">
        <v>19</v>
      </c>
      <c r="M63" s="5">
        <v>3</v>
      </c>
      <c r="N63" s="5" t="s">
        <v>3</v>
      </c>
      <c r="O63" s="5">
        <v>0</v>
      </c>
      <c r="P63" s="5">
        <f>ROUND(Source!ES43,O63)</f>
        <v>0</v>
      </c>
      <c r="Q63" s="5"/>
      <c r="R63" s="5"/>
      <c r="S63" s="5"/>
      <c r="T63" s="5"/>
      <c r="U63" s="5"/>
      <c r="V63" s="5"/>
      <c r="W63" s="5">
        <v>0</v>
      </c>
      <c r="X63" s="5">
        <v>1</v>
      </c>
      <c r="Y63" s="5">
        <v>0</v>
      </c>
      <c r="Z63" s="5">
        <v>0</v>
      </c>
      <c r="AA63" s="5">
        <v>1</v>
      </c>
      <c r="AB63" s="5">
        <v>0</v>
      </c>
      <c r="IF63">
        <v>-1</v>
      </c>
    </row>
    <row r="64" spans="1:240" x14ac:dyDescent="0.2">
      <c r="A64" s="5">
        <v>50</v>
      </c>
      <c r="B64" s="5">
        <v>0</v>
      </c>
      <c r="C64" s="5">
        <v>0</v>
      </c>
      <c r="D64" s="5">
        <v>1</v>
      </c>
      <c r="E64" s="5">
        <v>206</v>
      </c>
      <c r="F64" s="5">
        <f>ROUND(Source!T43,O64)</f>
        <v>0</v>
      </c>
      <c r="G64" s="5" t="s">
        <v>125</v>
      </c>
      <c r="H64" s="5" t="s">
        <v>126</v>
      </c>
      <c r="I64" s="5"/>
      <c r="J64" s="5"/>
      <c r="K64" s="5">
        <v>206</v>
      </c>
      <c r="L64" s="5">
        <v>20</v>
      </c>
      <c r="M64" s="5">
        <v>3</v>
      </c>
      <c r="N64" s="5" t="s">
        <v>3</v>
      </c>
      <c r="O64" s="5">
        <v>0</v>
      </c>
      <c r="P64" s="5">
        <f>ROUND(Source!DL43,O64)</f>
        <v>0</v>
      </c>
      <c r="Q64" s="5"/>
      <c r="R64" s="5"/>
      <c r="S64" s="5"/>
      <c r="T64" s="5"/>
      <c r="U64" s="5"/>
      <c r="V64" s="5"/>
      <c r="W64" s="5">
        <v>0</v>
      </c>
      <c r="X64" s="5">
        <v>1</v>
      </c>
      <c r="Y64" s="5">
        <v>0</v>
      </c>
      <c r="Z64" s="5">
        <v>0</v>
      </c>
      <c r="AA64" s="5">
        <v>1</v>
      </c>
      <c r="AB64" s="5">
        <v>0</v>
      </c>
      <c r="IF64">
        <v>-1</v>
      </c>
    </row>
    <row r="65" spans="1:240" x14ac:dyDescent="0.2">
      <c r="A65" s="5">
        <v>50</v>
      </c>
      <c r="B65" s="5">
        <v>0</v>
      </c>
      <c r="C65" s="5">
        <v>0</v>
      </c>
      <c r="D65" s="5">
        <v>1</v>
      </c>
      <c r="E65" s="5">
        <v>207</v>
      </c>
      <c r="F65" s="5">
        <f>Source!U43</f>
        <v>6.5289120000000009</v>
      </c>
      <c r="G65" s="5" t="s">
        <v>127</v>
      </c>
      <c r="H65" s="5" t="s">
        <v>128</v>
      </c>
      <c r="I65" s="5"/>
      <c r="J65" s="5"/>
      <c r="K65" s="5">
        <v>207</v>
      </c>
      <c r="L65" s="5">
        <v>21</v>
      </c>
      <c r="M65" s="5">
        <v>3</v>
      </c>
      <c r="N65" s="5" t="s">
        <v>3</v>
      </c>
      <c r="O65" s="5">
        <v>-1</v>
      </c>
      <c r="P65" s="5">
        <f>Source!DM43</f>
        <v>6.5289120000000009</v>
      </c>
      <c r="Q65" s="5"/>
      <c r="R65" s="5"/>
      <c r="S65" s="5"/>
      <c r="T65" s="5"/>
      <c r="U65" s="5"/>
      <c r="V65" s="5"/>
      <c r="W65" s="5">
        <v>6.528912</v>
      </c>
      <c r="X65" s="5">
        <v>1</v>
      </c>
      <c r="Y65" s="5">
        <v>6.528912</v>
      </c>
      <c r="Z65" s="5">
        <v>6.528912</v>
      </c>
      <c r="AA65" s="5">
        <v>1</v>
      </c>
      <c r="AB65" s="5">
        <v>6.528912</v>
      </c>
      <c r="IF65">
        <v>-1</v>
      </c>
    </row>
    <row r="66" spans="1:240" x14ac:dyDescent="0.2">
      <c r="A66" s="5">
        <v>50</v>
      </c>
      <c r="B66" s="5">
        <v>0</v>
      </c>
      <c r="C66" s="5">
        <v>0</v>
      </c>
      <c r="D66" s="5">
        <v>1</v>
      </c>
      <c r="E66" s="5">
        <v>208</v>
      </c>
      <c r="F66" s="5">
        <f>Source!V43</f>
        <v>5.9808E-2</v>
      </c>
      <c r="G66" s="5" t="s">
        <v>129</v>
      </c>
      <c r="H66" s="5" t="s">
        <v>130</v>
      </c>
      <c r="I66" s="5"/>
      <c r="J66" s="5"/>
      <c r="K66" s="5">
        <v>208</v>
      </c>
      <c r="L66" s="5">
        <v>22</v>
      </c>
      <c r="M66" s="5">
        <v>3</v>
      </c>
      <c r="N66" s="5" t="s">
        <v>3</v>
      </c>
      <c r="O66" s="5">
        <v>-1</v>
      </c>
      <c r="P66" s="5">
        <f>Source!DN43</f>
        <v>5.9808E-2</v>
      </c>
      <c r="Q66" s="5"/>
      <c r="R66" s="5"/>
      <c r="S66" s="5"/>
      <c r="T66" s="5"/>
      <c r="U66" s="5"/>
      <c r="V66" s="5"/>
      <c r="W66" s="5">
        <v>5.9808E-2</v>
      </c>
      <c r="X66" s="5">
        <v>1</v>
      </c>
      <c r="Y66" s="5">
        <v>5.9808E-2</v>
      </c>
      <c r="Z66" s="5">
        <v>5.9808E-2</v>
      </c>
      <c r="AA66" s="5">
        <v>1</v>
      </c>
      <c r="AB66" s="5">
        <v>5.9808E-2</v>
      </c>
      <c r="IF66">
        <v>-1</v>
      </c>
    </row>
    <row r="67" spans="1:240" x14ac:dyDescent="0.2">
      <c r="A67" s="5">
        <v>50</v>
      </c>
      <c r="B67" s="5">
        <v>0</v>
      </c>
      <c r="C67" s="5">
        <v>0</v>
      </c>
      <c r="D67" s="5">
        <v>1</v>
      </c>
      <c r="E67" s="5">
        <v>209</v>
      </c>
      <c r="F67" s="5">
        <f>ROUND(Source!W43,O67)</f>
        <v>0</v>
      </c>
      <c r="G67" s="5" t="s">
        <v>131</v>
      </c>
      <c r="H67" s="5" t="s">
        <v>132</v>
      </c>
      <c r="I67" s="5"/>
      <c r="J67" s="5"/>
      <c r="K67" s="5">
        <v>209</v>
      </c>
      <c r="L67" s="5">
        <v>23</v>
      </c>
      <c r="M67" s="5">
        <v>3</v>
      </c>
      <c r="N67" s="5" t="s">
        <v>3</v>
      </c>
      <c r="O67" s="5">
        <v>0</v>
      </c>
      <c r="P67" s="5">
        <f>ROUND(Source!DO43,O67)</f>
        <v>0</v>
      </c>
      <c r="Q67" s="5"/>
      <c r="R67" s="5"/>
      <c r="S67" s="5"/>
      <c r="T67" s="5"/>
      <c r="U67" s="5"/>
      <c r="V67" s="5"/>
      <c r="W67" s="5">
        <v>0</v>
      </c>
      <c r="X67" s="5">
        <v>1</v>
      </c>
      <c r="Y67" s="5">
        <v>0</v>
      </c>
      <c r="Z67" s="5">
        <v>0</v>
      </c>
      <c r="AA67" s="5">
        <v>1</v>
      </c>
      <c r="AB67" s="5">
        <v>0</v>
      </c>
      <c r="IF67">
        <v>-1</v>
      </c>
    </row>
    <row r="68" spans="1:240" x14ac:dyDescent="0.2">
      <c r="A68" s="5">
        <v>50</v>
      </c>
      <c r="B68" s="5">
        <v>0</v>
      </c>
      <c r="C68" s="5">
        <v>0</v>
      </c>
      <c r="D68" s="5">
        <v>1</v>
      </c>
      <c r="E68" s="5">
        <v>233</v>
      </c>
      <c r="F68" s="5">
        <f>ROUND(Source!BD43,O68)</f>
        <v>0</v>
      </c>
      <c r="G68" s="5" t="s">
        <v>133</v>
      </c>
      <c r="H68" s="5" t="s">
        <v>134</v>
      </c>
      <c r="I68" s="5"/>
      <c r="J68" s="5"/>
      <c r="K68" s="5">
        <v>233</v>
      </c>
      <c r="L68" s="5">
        <v>24</v>
      </c>
      <c r="M68" s="5">
        <v>3</v>
      </c>
      <c r="N68" s="5" t="s">
        <v>3</v>
      </c>
      <c r="O68" s="5">
        <v>0</v>
      </c>
      <c r="P68" s="5">
        <f>ROUND(Source!EV43,O68)</f>
        <v>0</v>
      </c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0</v>
      </c>
      <c r="IF68">
        <v>-1</v>
      </c>
    </row>
    <row r="69" spans="1:240" x14ac:dyDescent="0.2">
      <c r="A69" s="5">
        <v>50</v>
      </c>
      <c r="B69" s="5">
        <v>0</v>
      </c>
      <c r="C69" s="5">
        <v>0</v>
      </c>
      <c r="D69" s="5">
        <v>1</v>
      </c>
      <c r="E69" s="5">
        <v>210</v>
      </c>
      <c r="F69" s="5">
        <f>ROUND(Source!X43,O69)</f>
        <v>54</v>
      </c>
      <c r="G69" s="5" t="s">
        <v>135</v>
      </c>
      <c r="H69" s="5" t="s">
        <v>136</v>
      </c>
      <c r="I69" s="5"/>
      <c r="J69" s="5"/>
      <c r="K69" s="5">
        <v>210</v>
      </c>
      <c r="L69" s="5">
        <v>25</v>
      </c>
      <c r="M69" s="5">
        <v>3</v>
      </c>
      <c r="N69" s="5" t="s">
        <v>3</v>
      </c>
      <c r="O69" s="5">
        <v>0</v>
      </c>
      <c r="P69" s="5">
        <f>ROUND(Source!DP43,O69)</f>
        <v>0</v>
      </c>
      <c r="Q69" s="5"/>
      <c r="R69" s="5"/>
      <c r="S69" s="5"/>
      <c r="T69" s="5"/>
      <c r="U69" s="5"/>
      <c r="V69" s="5"/>
      <c r="W69" s="5">
        <v>54</v>
      </c>
      <c r="X69" s="5">
        <v>1</v>
      </c>
      <c r="Y69" s="5">
        <v>54</v>
      </c>
      <c r="Z69" s="5">
        <v>1956</v>
      </c>
      <c r="AA69" s="5">
        <v>1</v>
      </c>
      <c r="AB69" s="5">
        <v>1956</v>
      </c>
      <c r="IF69">
        <v>-1</v>
      </c>
    </row>
    <row r="70" spans="1:240" x14ac:dyDescent="0.2">
      <c r="A70" s="5">
        <v>50</v>
      </c>
      <c r="B70" s="5">
        <v>0</v>
      </c>
      <c r="C70" s="5">
        <v>0</v>
      </c>
      <c r="D70" s="5">
        <v>1</v>
      </c>
      <c r="E70" s="5">
        <v>211</v>
      </c>
      <c r="F70" s="5">
        <f>ROUND(Source!Y43,O70)</f>
        <v>28</v>
      </c>
      <c r="G70" s="5" t="s">
        <v>137</v>
      </c>
      <c r="H70" s="5" t="s">
        <v>138</v>
      </c>
      <c r="I70" s="5"/>
      <c r="J70" s="5"/>
      <c r="K70" s="5">
        <v>211</v>
      </c>
      <c r="L70" s="5">
        <v>26</v>
      </c>
      <c r="M70" s="5">
        <v>3</v>
      </c>
      <c r="N70" s="5" t="s">
        <v>3</v>
      </c>
      <c r="O70" s="5">
        <v>0</v>
      </c>
      <c r="P70" s="5">
        <f>ROUND(Source!DQ43,O70)</f>
        <v>0</v>
      </c>
      <c r="Q70" s="5"/>
      <c r="R70" s="5"/>
      <c r="S70" s="5"/>
      <c r="T70" s="5"/>
      <c r="U70" s="5"/>
      <c r="V70" s="5"/>
      <c r="W70" s="5">
        <v>28</v>
      </c>
      <c r="X70" s="5">
        <v>1</v>
      </c>
      <c r="Y70" s="5">
        <v>28</v>
      </c>
      <c r="Z70" s="5">
        <v>1058</v>
      </c>
      <c r="AA70" s="5">
        <v>1</v>
      </c>
      <c r="AB70" s="5">
        <v>1058</v>
      </c>
      <c r="IF70">
        <v>-1</v>
      </c>
    </row>
    <row r="71" spans="1:240" x14ac:dyDescent="0.2">
      <c r="A71" s="5">
        <v>50</v>
      </c>
      <c r="B71" s="5">
        <v>0</v>
      </c>
      <c r="C71" s="5">
        <v>0</v>
      </c>
      <c r="D71" s="5">
        <v>1</v>
      </c>
      <c r="E71" s="5">
        <v>224</v>
      </c>
      <c r="F71" s="5">
        <f>ROUND(Source!AR43,O71)</f>
        <v>608</v>
      </c>
      <c r="G71" s="5" t="s">
        <v>139</v>
      </c>
      <c r="H71" s="5" t="s">
        <v>140</v>
      </c>
      <c r="I71" s="5"/>
      <c r="J71" s="5"/>
      <c r="K71" s="5">
        <v>224</v>
      </c>
      <c r="L71" s="5">
        <v>27</v>
      </c>
      <c r="M71" s="5">
        <v>3</v>
      </c>
      <c r="N71" s="5" t="s">
        <v>3</v>
      </c>
      <c r="O71" s="5">
        <v>0</v>
      </c>
      <c r="P71" s="5">
        <f>ROUND(Source!EJ43,O71)</f>
        <v>3692</v>
      </c>
      <c r="Q71" s="5"/>
      <c r="R71" s="5"/>
      <c r="S71" s="5"/>
      <c r="T71" s="5"/>
      <c r="U71" s="5"/>
      <c r="V71" s="5"/>
      <c r="W71" s="5">
        <v>608</v>
      </c>
      <c r="X71" s="5">
        <v>1</v>
      </c>
      <c r="Y71" s="5">
        <v>608</v>
      </c>
      <c r="Z71" s="5">
        <v>8759</v>
      </c>
      <c r="AA71" s="5">
        <v>1</v>
      </c>
      <c r="AB71" s="5">
        <v>8759</v>
      </c>
      <c r="IF71">
        <v>-1</v>
      </c>
    </row>
    <row r="72" spans="1:240" x14ac:dyDescent="0.2">
      <c r="IF72">
        <v>-1</v>
      </c>
    </row>
    <row r="73" spans="1:240" x14ac:dyDescent="0.2">
      <c r="A73" s="3">
        <v>51</v>
      </c>
      <c r="B73" s="3">
        <f>B12</f>
        <v>129</v>
      </c>
      <c r="C73" s="3">
        <f>A12</f>
        <v>1</v>
      </c>
      <c r="D73" s="3">
        <f>ROW(A12)</f>
        <v>12</v>
      </c>
      <c r="E73" s="3"/>
      <c r="F73" s="3" t="str">
        <f>IF(F12&lt;&gt;"",F12,"")</f>
        <v>ЛС Ремонт лестничных маршей</v>
      </c>
      <c r="G73" s="3" t="str">
        <f>IF(G12&lt;&gt;"",G12,"")</f>
        <v>ЛС Ремонт лестничных маршей</v>
      </c>
      <c r="H73" s="3">
        <v>0</v>
      </c>
      <c r="I73" s="3"/>
      <c r="J73" s="3"/>
      <c r="K73" s="3"/>
      <c r="L73" s="3"/>
      <c r="M73" s="3"/>
      <c r="N73" s="3"/>
      <c r="O73" s="3">
        <f t="shared" ref="O73:T73" si="57">ROUND(O43,0)</f>
        <v>526</v>
      </c>
      <c r="P73" s="3">
        <f t="shared" si="57"/>
        <v>469</v>
      </c>
      <c r="Q73" s="3">
        <f t="shared" si="57"/>
        <v>2</v>
      </c>
      <c r="R73" s="3">
        <f t="shared" si="57"/>
        <v>1</v>
      </c>
      <c r="S73" s="3">
        <f t="shared" si="57"/>
        <v>55</v>
      </c>
      <c r="T73" s="3">
        <f t="shared" si="57"/>
        <v>0</v>
      </c>
      <c r="U73" s="3">
        <f>U43</f>
        <v>6.5289120000000009</v>
      </c>
      <c r="V73" s="3">
        <f>V43</f>
        <v>5.9808E-2</v>
      </c>
      <c r="W73" s="3">
        <f>ROUND(W43,0)</f>
        <v>0</v>
      </c>
      <c r="X73" s="3">
        <f>ROUND(X43,0)</f>
        <v>54</v>
      </c>
      <c r="Y73" s="3">
        <f>ROUND(Y43,0)</f>
        <v>28</v>
      </c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>
        <f t="shared" ref="AO73:BD73" si="58">ROUND(AO43,0)</f>
        <v>0</v>
      </c>
      <c r="AP73" s="3">
        <f t="shared" si="58"/>
        <v>0</v>
      </c>
      <c r="AQ73" s="3">
        <f t="shared" si="58"/>
        <v>0</v>
      </c>
      <c r="AR73" s="3">
        <f t="shared" si="58"/>
        <v>608</v>
      </c>
      <c r="AS73" s="3">
        <f t="shared" si="58"/>
        <v>608</v>
      </c>
      <c r="AT73" s="3">
        <f t="shared" si="58"/>
        <v>0</v>
      </c>
      <c r="AU73" s="3">
        <f t="shared" si="58"/>
        <v>0</v>
      </c>
      <c r="AV73" s="3">
        <f t="shared" si="58"/>
        <v>469</v>
      </c>
      <c r="AW73" s="3">
        <f t="shared" si="58"/>
        <v>469</v>
      </c>
      <c r="AX73" s="3">
        <f t="shared" si="58"/>
        <v>0</v>
      </c>
      <c r="AY73" s="3">
        <f t="shared" si="58"/>
        <v>469</v>
      </c>
      <c r="AZ73" s="3">
        <f t="shared" si="58"/>
        <v>0</v>
      </c>
      <c r="BA73" s="3">
        <f t="shared" si="58"/>
        <v>0</v>
      </c>
      <c r="BB73" s="3">
        <f t="shared" si="58"/>
        <v>0</v>
      </c>
      <c r="BC73" s="3">
        <f t="shared" si="58"/>
        <v>0</v>
      </c>
      <c r="BD73" s="3">
        <f t="shared" si="58"/>
        <v>0</v>
      </c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4">
        <f t="shared" ref="DG73:DL73" si="59">ROUND(DG43,0)</f>
        <v>3692</v>
      </c>
      <c r="DH73" s="4">
        <f t="shared" si="59"/>
        <v>3692</v>
      </c>
      <c r="DI73" s="4">
        <f t="shared" si="59"/>
        <v>0</v>
      </c>
      <c r="DJ73" s="4">
        <f t="shared" si="59"/>
        <v>0</v>
      </c>
      <c r="DK73" s="4">
        <f t="shared" si="59"/>
        <v>0</v>
      </c>
      <c r="DL73" s="4">
        <f t="shared" si="59"/>
        <v>0</v>
      </c>
      <c r="DM73" s="4">
        <f>DM43</f>
        <v>6.5289120000000009</v>
      </c>
      <c r="DN73" s="4">
        <f>DN43</f>
        <v>5.9808E-2</v>
      </c>
      <c r="DO73" s="4">
        <f>ROUND(DO43,0)</f>
        <v>0</v>
      </c>
      <c r="DP73" s="4">
        <f>ROUND(DP43,0)</f>
        <v>0</v>
      </c>
      <c r="DQ73" s="4">
        <f>ROUND(DQ43,0)</f>
        <v>0</v>
      </c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>
        <f t="shared" ref="EG73:EV73" si="60">ROUND(EG43,0)</f>
        <v>0</v>
      </c>
      <c r="EH73" s="4">
        <f t="shared" si="60"/>
        <v>0</v>
      </c>
      <c r="EI73" s="4">
        <f t="shared" si="60"/>
        <v>0</v>
      </c>
      <c r="EJ73" s="4">
        <f t="shared" si="60"/>
        <v>3692</v>
      </c>
      <c r="EK73" s="4">
        <f t="shared" si="60"/>
        <v>3692</v>
      </c>
      <c r="EL73" s="4">
        <f t="shared" si="60"/>
        <v>0</v>
      </c>
      <c r="EM73" s="4">
        <f t="shared" si="60"/>
        <v>0</v>
      </c>
      <c r="EN73" s="4">
        <f t="shared" si="60"/>
        <v>3692</v>
      </c>
      <c r="EO73" s="4">
        <f t="shared" si="60"/>
        <v>3692</v>
      </c>
      <c r="EP73" s="4">
        <f t="shared" si="60"/>
        <v>0</v>
      </c>
      <c r="EQ73" s="4">
        <f t="shared" si="60"/>
        <v>3692</v>
      </c>
      <c r="ER73" s="4">
        <f t="shared" si="60"/>
        <v>0</v>
      </c>
      <c r="ES73" s="4">
        <f t="shared" si="60"/>
        <v>0</v>
      </c>
      <c r="ET73" s="4">
        <f t="shared" si="60"/>
        <v>0</v>
      </c>
      <c r="EU73" s="4">
        <f t="shared" si="60"/>
        <v>0</v>
      </c>
      <c r="EV73" s="4">
        <f t="shared" si="60"/>
        <v>0</v>
      </c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>
        <v>0</v>
      </c>
      <c r="IF73">
        <v>-1</v>
      </c>
    </row>
    <row r="74" spans="1:240" x14ac:dyDescent="0.2">
      <c r="IF74">
        <v>-1</v>
      </c>
    </row>
    <row r="75" spans="1:240" x14ac:dyDescent="0.2">
      <c r="A75" s="5">
        <v>50</v>
      </c>
      <c r="B75" s="5">
        <v>0</v>
      </c>
      <c r="C75" s="5">
        <v>0</v>
      </c>
      <c r="D75" s="5">
        <v>1</v>
      </c>
      <c r="E75" s="5">
        <v>201</v>
      </c>
      <c r="F75" s="5">
        <f>ROUND(Source!O73,O75)</f>
        <v>526</v>
      </c>
      <c r="G75" s="5" t="s">
        <v>87</v>
      </c>
      <c r="H75" s="5" t="s">
        <v>88</v>
      </c>
      <c r="I75" s="5"/>
      <c r="J75" s="5"/>
      <c r="K75" s="5">
        <v>201</v>
      </c>
      <c r="L75" s="5">
        <v>1</v>
      </c>
      <c r="M75" s="5">
        <v>3</v>
      </c>
      <c r="N75" s="5" t="s">
        <v>3</v>
      </c>
      <c r="O75" s="5">
        <v>0</v>
      </c>
      <c r="P75" s="5">
        <f>ROUND(Source!DG73,O75)</f>
        <v>3692</v>
      </c>
      <c r="Q75" s="5"/>
      <c r="R75" s="5"/>
      <c r="S75" s="5"/>
      <c r="T75" s="5"/>
      <c r="U75" s="5"/>
      <c r="V75" s="5"/>
      <c r="W75" s="5">
        <v>526</v>
      </c>
      <c r="X75" s="5">
        <v>1</v>
      </c>
      <c r="Y75" s="5">
        <v>526</v>
      </c>
      <c r="Z75" s="5">
        <v>5745</v>
      </c>
      <c r="AA75" s="5">
        <v>1</v>
      </c>
      <c r="AB75" s="5">
        <v>5745</v>
      </c>
      <c r="IF75">
        <v>-1</v>
      </c>
    </row>
    <row r="76" spans="1:240" x14ac:dyDescent="0.2">
      <c r="A76" s="5">
        <v>50</v>
      </c>
      <c r="B76" s="5">
        <v>0</v>
      </c>
      <c r="C76" s="5">
        <v>0</v>
      </c>
      <c r="D76" s="5">
        <v>1</v>
      </c>
      <c r="E76" s="5">
        <v>202</v>
      </c>
      <c r="F76" s="5">
        <f>ROUND(Source!P73,O76)</f>
        <v>469</v>
      </c>
      <c r="G76" s="5" t="s">
        <v>89</v>
      </c>
      <c r="H76" s="5" t="s">
        <v>90</v>
      </c>
      <c r="I76" s="5"/>
      <c r="J76" s="5"/>
      <c r="K76" s="5">
        <v>202</v>
      </c>
      <c r="L76" s="5">
        <v>2</v>
      </c>
      <c r="M76" s="5">
        <v>3</v>
      </c>
      <c r="N76" s="5" t="s">
        <v>3</v>
      </c>
      <c r="O76" s="5">
        <v>0</v>
      </c>
      <c r="P76" s="5">
        <f>ROUND(Source!DH73,O76)</f>
        <v>3692</v>
      </c>
      <c r="Q76" s="5"/>
      <c r="R76" s="5"/>
      <c r="S76" s="5"/>
      <c r="T76" s="5"/>
      <c r="U76" s="5"/>
      <c r="V76" s="5"/>
      <c r="W76" s="5">
        <v>469</v>
      </c>
      <c r="X76" s="5">
        <v>1</v>
      </c>
      <c r="Y76" s="5">
        <v>469</v>
      </c>
      <c r="Z76" s="5">
        <v>3692</v>
      </c>
      <c r="AA76" s="5">
        <v>1</v>
      </c>
      <c r="AB76" s="5">
        <v>3692</v>
      </c>
      <c r="IF76">
        <v>-1</v>
      </c>
    </row>
    <row r="77" spans="1:240" x14ac:dyDescent="0.2">
      <c r="A77" s="5">
        <v>50</v>
      </c>
      <c r="B77" s="5">
        <v>0</v>
      </c>
      <c r="C77" s="5">
        <v>0</v>
      </c>
      <c r="D77" s="5">
        <v>1</v>
      </c>
      <c r="E77" s="5">
        <v>222</v>
      </c>
      <c r="F77" s="5">
        <f>ROUND(Source!AO73,O77)</f>
        <v>0</v>
      </c>
      <c r="G77" s="5" t="s">
        <v>91</v>
      </c>
      <c r="H77" s="5" t="s">
        <v>92</v>
      </c>
      <c r="I77" s="5"/>
      <c r="J77" s="5"/>
      <c r="K77" s="5">
        <v>222</v>
      </c>
      <c r="L77" s="5">
        <v>3</v>
      </c>
      <c r="M77" s="5">
        <v>3</v>
      </c>
      <c r="N77" s="5" t="s">
        <v>3</v>
      </c>
      <c r="O77" s="5">
        <v>0</v>
      </c>
      <c r="P77" s="5">
        <f>ROUND(Source!EG73,O77)</f>
        <v>0</v>
      </c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>
        <v>0</v>
      </c>
      <c r="AA77" s="5">
        <v>1</v>
      </c>
      <c r="AB77" s="5">
        <v>0</v>
      </c>
      <c r="IF77">
        <v>-1</v>
      </c>
    </row>
    <row r="78" spans="1:240" x14ac:dyDescent="0.2">
      <c r="A78" s="5">
        <v>50</v>
      </c>
      <c r="B78" s="5">
        <v>0</v>
      </c>
      <c r="C78" s="5">
        <v>0</v>
      </c>
      <c r="D78" s="5">
        <v>1</v>
      </c>
      <c r="E78" s="5">
        <v>225</v>
      </c>
      <c r="F78" s="5">
        <f>ROUND(Source!AV73,O78)</f>
        <v>469</v>
      </c>
      <c r="G78" s="5" t="s">
        <v>93</v>
      </c>
      <c r="H78" s="5" t="s">
        <v>94</v>
      </c>
      <c r="I78" s="5"/>
      <c r="J78" s="5"/>
      <c r="K78" s="5">
        <v>225</v>
      </c>
      <c r="L78" s="5">
        <v>4</v>
      </c>
      <c r="M78" s="5">
        <v>3</v>
      </c>
      <c r="N78" s="5" t="s">
        <v>3</v>
      </c>
      <c r="O78" s="5">
        <v>0</v>
      </c>
      <c r="P78" s="5">
        <f>ROUND(Source!EN73,O78)</f>
        <v>3692</v>
      </c>
      <c r="Q78" s="5"/>
      <c r="R78" s="5"/>
      <c r="S78" s="5"/>
      <c r="T78" s="5"/>
      <c r="U78" s="5"/>
      <c r="V78" s="5"/>
      <c r="W78" s="5">
        <v>469</v>
      </c>
      <c r="X78" s="5">
        <v>1</v>
      </c>
      <c r="Y78" s="5">
        <v>469</v>
      </c>
      <c r="Z78" s="5">
        <v>3692</v>
      </c>
      <c r="AA78" s="5">
        <v>1</v>
      </c>
      <c r="AB78" s="5">
        <v>3692</v>
      </c>
      <c r="IF78">
        <v>-1</v>
      </c>
    </row>
    <row r="79" spans="1:240" x14ac:dyDescent="0.2">
      <c r="A79" s="5">
        <v>50</v>
      </c>
      <c r="B79" s="5">
        <v>0</v>
      </c>
      <c r="C79" s="5">
        <v>0</v>
      </c>
      <c r="D79" s="5">
        <v>1</v>
      </c>
      <c r="E79" s="5">
        <v>226</v>
      </c>
      <c r="F79" s="5">
        <f>ROUND(Source!AW73,O79)</f>
        <v>469</v>
      </c>
      <c r="G79" s="5" t="s">
        <v>95</v>
      </c>
      <c r="H79" s="5" t="s">
        <v>96</v>
      </c>
      <c r="I79" s="5"/>
      <c r="J79" s="5"/>
      <c r="K79" s="5">
        <v>226</v>
      </c>
      <c r="L79" s="5">
        <v>5</v>
      </c>
      <c r="M79" s="5">
        <v>3</v>
      </c>
      <c r="N79" s="5" t="s">
        <v>3</v>
      </c>
      <c r="O79" s="5">
        <v>0</v>
      </c>
      <c r="P79" s="5">
        <f>ROUND(Source!EO73,O79)</f>
        <v>3692</v>
      </c>
      <c r="Q79" s="5"/>
      <c r="R79" s="5"/>
      <c r="S79" s="5"/>
      <c r="T79" s="5"/>
      <c r="U79" s="5"/>
      <c r="V79" s="5"/>
      <c r="W79" s="5">
        <v>469</v>
      </c>
      <c r="X79" s="5">
        <v>1</v>
      </c>
      <c r="Y79" s="5">
        <v>469</v>
      </c>
      <c r="Z79" s="5">
        <v>3692</v>
      </c>
      <c r="AA79" s="5">
        <v>1</v>
      </c>
      <c r="AB79" s="5">
        <v>3692</v>
      </c>
      <c r="IF79">
        <v>-1</v>
      </c>
    </row>
    <row r="80" spans="1:240" x14ac:dyDescent="0.2">
      <c r="A80" s="5">
        <v>50</v>
      </c>
      <c r="B80" s="5">
        <v>0</v>
      </c>
      <c r="C80" s="5">
        <v>0</v>
      </c>
      <c r="D80" s="5">
        <v>1</v>
      </c>
      <c r="E80" s="5">
        <v>227</v>
      </c>
      <c r="F80" s="5">
        <f>ROUND(Source!AX73,O80)</f>
        <v>0</v>
      </c>
      <c r="G80" s="5" t="s">
        <v>97</v>
      </c>
      <c r="H80" s="5" t="s">
        <v>98</v>
      </c>
      <c r="I80" s="5"/>
      <c r="J80" s="5"/>
      <c r="K80" s="5">
        <v>227</v>
      </c>
      <c r="L80" s="5">
        <v>6</v>
      </c>
      <c r="M80" s="5">
        <v>3</v>
      </c>
      <c r="N80" s="5" t="s">
        <v>3</v>
      </c>
      <c r="O80" s="5">
        <v>0</v>
      </c>
      <c r="P80" s="5">
        <f>ROUND(Source!EP73,O80)</f>
        <v>0</v>
      </c>
      <c r="Q80" s="5"/>
      <c r="R80" s="5"/>
      <c r="S80" s="5"/>
      <c r="T80" s="5"/>
      <c r="U80" s="5"/>
      <c r="V80" s="5"/>
      <c r="W80" s="5">
        <v>0</v>
      </c>
      <c r="X80" s="5">
        <v>1</v>
      </c>
      <c r="Y80" s="5">
        <v>0</v>
      </c>
      <c r="Z80" s="5">
        <v>0</v>
      </c>
      <c r="AA80" s="5">
        <v>1</v>
      </c>
      <c r="AB80" s="5">
        <v>0</v>
      </c>
      <c r="IF80">
        <v>-1</v>
      </c>
    </row>
    <row r="81" spans="1:240" x14ac:dyDescent="0.2">
      <c r="A81" s="5">
        <v>50</v>
      </c>
      <c r="B81" s="5">
        <v>0</v>
      </c>
      <c r="C81" s="5">
        <v>0</v>
      </c>
      <c r="D81" s="5">
        <v>1</v>
      </c>
      <c r="E81" s="5">
        <v>228</v>
      </c>
      <c r="F81" s="5">
        <f>ROUND(Source!AY73,O81)</f>
        <v>469</v>
      </c>
      <c r="G81" s="5" t="s">
        <v>99</v>
      </c>
      <c r="H81" s="5" t="s">
        <v>100</v>
      </c>
      <c r="I81" s="5"/>
      <c r="J81" s="5"/>
      <c r="K81" s="5">
        <v>228</v>
      </c>
      <c r="L81" s="5">
        <v>7</v>
      </c>
      <c r="M81" s="5">
        <v>3</v>
      </c>
      <c r="N81" s="5" t="s">
        <v>3</v>
      </c>
      <c r="O81" s="5">
        <v>0</v>
      </c>
      <c r="P81" s="5">
        <f>ROUND(Source!EQ73,O81)</f>
        <v>3692</v>
      </c>
      <c r="Q81" s="5"/>
      <c r="R81" s="5"/>
      <c r="S81" s="5"/>
      <c r="T81" s="5"/>
      <c r="U81" s="5"/>
      <c r="V81" s="5"/>
      <c r="W81" s="5">
        <v>469</v>
      </c>
      <c r="X81" s="5">
        <v>1</v>
      </c>
      <c r="Y81" s="5">
        <v>469</v>
      </c>
      <c r="Z81" s="5">
        <v>3692</v>
      </c>
      <c r="AA81" s="5">
        <v>1</v>
      </c>
      <c r="AB81" s="5">
        <v>3692</v>
      </c>
      <c r="IF81">
        <v>-1</v>
      </c>
    </row>
    <row r="82" spans="1:240" x14ac:dyDescent="0.2">
      <c r="A82" s="5">
        <v>50</v>
      </c>
      <c r="B82" s="5">
        <v>0</v>
      </c>
      <c r="C82" s="5">
        <v>0</v>
      </c>
      <c r="D82" s="5">
        <v>1</v>
      </c>
      <c r="E82" s="5">
        <v>216</v>
      </c>
      <c r="F82" s="5">
        <f>ROUND(Source!AP73,O82)</f>
        <v>0</v>
      </c>
      <c r="G82" s="5" t="s">
        <v>101</v>
      </c>
      <c r="H82" s="5" t="s">
        <v>102</v>
      </c>
      <c r="I82" s="5"/>
      <c r="J82" s="5"/>
      <c r="K82" s="5">
        <v>216</v>
      </c>
      <c r="L82" s="5">
        <v>8</v>
      </c>
      <c r="M82" s="5">
        <v>3</v>
      </c>
      <c r="N82" s="5" t="s">
        <v>3</v>
      </c>
      <c r="O82" s="5">
        <v>0</v>
      </c>
      <c r="P82" s="5">
        <f>ROUND(Source!EH73,O82)</f>
        <v>0</v>
      </c>
      <c r="Q82" s="5"/>
      <c r="R82" s="5"/>
      <c r="S82" s="5"/>
      <c r="T82" s="5"/>
      <c r="U82" s="5"/>
      <c r="V82" s="5"/>
      <c r="W82" s="5">
        <v>0</v>
      </c>
      <c r="X82" s="5">
        <v>1</v>
      </c>
      <c r="Y82" s="5">
        <v>0</v>
      </c>
      <c r="Z82" s="5">
        <v>0</v>
      </c>
      <c r="AA82" s="5">
        <v>1</v>
      </c>
      <c r="AB82" s="5">
        <v>0</v>
      </c>
      <c r="IF82">
        <v>-1</v>
      </c>
    </row>
    <row r="83" spans="1:240" x14ac:dyDescent="0.2">
      <c r="A83" s="5">
        <v>50</v>
      </c>
      <c r="B83" s="5">
        <v>0</v>
      </c>
      <c r="C83" s="5">
        <v>0</v>
      </c>
      <c r="D83" s="5">
        <v>1</v>
      </c>
      <c r="E83" s="5">
        <v>223</v>
      </c>
      <c r="F83" s="5">
        <f>ROUND(Source!AQ73,O83)</f>
        <v>0</v>
      </c>
      <c r="G83" s="5" t="s">
        <v>103</v>
      </c>
      <c r="H83" s="5" t="s">
        <v>104</v>
      </c>
      <c r="I83" s="5"/>
      <c r="J83" s="5"/>
      <c r="K83" s="5">
        <v>223</v>
      </c>
      <c r="L83" s="5">
        <v>9</v>
      </c>
      <c r="M83" s="5">
        <v>3</v>
      </c>
      <c r="N83" s="5" t="s">
        <v>3</v>
      </c>
      <c r="O83" s="5">
        <v>0</v>
      </c>
      <c r="P83" s="5">
        <f>ROUND(Source!EI73,O83)</f>
        <v>0</v>
      </c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>
        <v>0</v>
      </c>
      <c r="AA83" s="5">
        <v>1</v>
      </c>
      <c r="AB83" s="5">
        <v>0</v>
      </c>
      <c r="IF83">
        <v>-1</v>
      </c>
    </row>
    <row r="84" spans="1:240" x14ac:dyDescent="0.2">
      <c r="A84" s="5">
        <v>50</v>
      </c>
      <c r="B84" s="5">
        <v>0</v>
      </c>
      <c r="C84" s="5">
        <v>0</v>
      </c>
      <c r="D84" s="5">
        <v>1</v>
      </c>
      <c r="E84" s="5">
        <v>229</v>
      </c>
      <c r="F84" s="5">
        <f>ROUND(Source!AZ73,O84)</f>
        <v>0</v>
      </c>
      <c r="G84" s="5" t="s">
        <v>105</v>
      </c>
      <c r="H84" s="5" t="s">
        <v>106</v>
      </c>
      <c r="I84" s="5"/>
      <c r="J84" s="5"/>
      <c r="K84" s="5">
        <v>229</v>
      </c>
      <c r="L84" s="5">
        <v>10</v>
      </c>
      <c r="M84" s="5">
        <v>3</v>
      </c>
      <c r="N84" s="5" t="s">
        <v>3</v>
      </c>
      <c r="O84" s="5">
        <v>0</v>
      </c>
      <c r="P84" s="5">
        <f>ROUND(Source!ER73,O84)</f>
        <v>0</v>
      </c>
      <c r="Q84" s="5"/>
      <c r="R84" s="5"/>
      <c r="S84" s="5"/>
      <c r="T84" s="5"/>
      <c r="U84" s="5"/>
      <c r="V84" s="5"/>
      <c r="W84" s="5">
        <v>0</v>
      </c>
      <c r="X84" s="5">
        <v>1</v>
      </c>
      <c r="Y84" s="5">
        <v>0</v>
      </c>
      <c r="Z84" s="5">
        <v>0</v>
      </c>
      <c r="AA84" s="5">
        <v>1</v>
      </c>
      <c r="AB84" s="5">
        <v>0</v>
      </c>
      <c r="IF84">
        <v>-1</v>
      </c>
    </row>
    <row r="85" spans="1:240" x14ac:dyDescent="0.2">
      <c r="A85" s="5">
        <v>50</v>
      </c>
      <c r="B85" s="5">
        <v>0</v>
      </c>
      <c r="C85" s="5">
        <v>0</v>
      </c>
      <c r="D85" s="5">
        <v>1</v>
      </c>
      <c r="E85" s="5">
        <v>203</v>
      </c>
      <c r="F85" s="5">
        <f>ROUND(Source!Q73,O85)</f>
        <v>2</v>
      </c>
      <c r="G85" s="5" t="s">
        <v>107</v>
      </c>
      <c r="H85" s="5" t="s">
        <v>108</v>
      </c>
      <c r="I85" s="5"/>
      <c r="J85" s="5"/>
      <c r="K85" s="5">
        <v>203</v>
      </c>
      <c r="L85" s="5">
        <v>11</v>
      </c>
      <c r="M85" s="5">
        <v>3</v>
      </c>
      <c r="N85" s="5" t="s">
        <v>3</v>
      </c>
      <c r="O85" s="5">
        <v>0</v>
      </c>
      <c r="P85" s="5">
        <f>ROUND(Source!DI73,O85)</f>
        <v>0</v>
      </c>
      <c r="Q85" s="5"/>
      <c r="R85" s="5"/>
      <c r="S85" s="5"/>
      <c r="T85" s="5"/>
      <c r="U85" s="5"/>
      <c r="V85" s="5"/>
      <c r="W85" s="5">
        <v>2</v>
      </c>
      <c r="X85" s="5">
        <v>1</v>
      </c>
      <c r="Y85" s="5">
        <v>2</v>
      </c>
      <c r="Z85" s="5">
        <v>26</v>
      </c>
      <c r="AA85" s="5">
        <v>1</v>
      </c>
      <c r="AB85" s="5">
        <v>26</v>
      </c>
      <c r="IF85">
        <v>-1</v>
      </c>
    </row>
    <row r="86" spans="1:240" x14ac:dyDescent="0.2">
      <c r="A86" s="5">
        <v>50</v>
      </c>
      <c r="B86" s="5">
        <v>0</v>
      </c>
      <c r="C86" s="5">
        <v>0</v>
      </c>
      <c r="D86" s="5">
        <v>1</v>
      </c>
      <c r="E86" s="5">
        <v>231</v>
      </c>
      <c r="F86" s="5">
        <f>ROUND(Source!BB73,O86)</f>
        <v>0</v>
      </c>
      <c r="G86" s="5" t="s">
        <v>109</v>
      </c>
      <c r="H86" s="5" t="s">
        <v>110</v>
      </c>
      <c r="I86" s="5"/>
      <c r="J86" s="5"/>
      <c r="K86" s="5">
        <v>231</v>
      </c>
      <c r="L86" s="5">
        <v>12</v>
      </c>
      <c r="M86" s="5">
        <v>3</v>
      </c>
      <c r="N86" s="5" t="s">
        <v>3</v>
      </c>
      <c r="O86" s="5">
        <v>0</v>
      </c>
      <c r="P86" s="5">
        <f>ROUND(Source!ET73,O86)</f>
        <v>0</v>
      </c>
      <c r="Q86" s="5"/>
      <c r="R86" s="5"/>
      <c r="S86" s="5"/>
      <c r="T86" s="5"/>
      <c r="U86" s="5"/>
      <c r="V86" s="5"/>
      <c r="W86" s="5">
        <v>0</v>
      </c>
      <c r="X86" s="5">
        <v>1</v>
      </c>
      <c r="Y86" s="5">
        <v>0</v>
      </c>
      <c r="Z86" s="5">
        <v>0</v>
      </c>
      <c r="AA86" s="5">
        <v>1</v>
      </c>
      <c r="AB86" s="5">
        <v>0</v>
      </c>
      <c r="IF86">
        <v>-1</v>
      </c>
    </row>
    <row r="87" spans="1:240" x14ac:dyDescent="0.2">
      <c r="A87" s="5">
        <v>50</v>
      </c>
      <c r="B87" s="5">
        <v>0</v>
      </c>
      <c r="C87" s="5">
        <v>0</v>
      </c>
      <c r="D87" s="5">
        <v>1</v>
      </c>
      <c r="E87" s="5">
        <v>204</v>
      </c>
      <c r="F87" s="5">
        <f>ROUND(Source!R73,O87)</f>
        <v>1</v>
      </c>
      <c r="G87" s="5" t="s">
        <v>111</v>
      </c>
      <c r="H87" s="5" t="s">
        <v>112</v>
      </c>
      <c r="I87" s="5"/>
      <c r="J87" s="5"/>
      <c r="K87" s="5">
        <v>204</v>
      </c>
      <c r="L87" s="5">
        <v>13</v>
      </c>
      <c r="M87" s="5">
        <v>3</v>
      </c>
      <c r="N87" s="5" t="s">
        <v>3</v>
      </c>
      <c r="O87" s="5">
        <v>0</v>
      </c>
      <c r="P87" s="5">
        <f>ROUND(Source!DJ73,O87)</f>
        <v>0</v>
      </c>
      <c r="Q87" s="5"/>
      <c r="R87" s="5"/>
      <c r="S87" s="5"/>
      <c r="T87" s="5"/>
      <c r="U87" s="5"/>
      <c r="V87" s="5"/>
      <c r="W87" s="5">
        <v>1</v>
      </c>
      <c r="X87" s="5">
        <v>1</v>
      </c>
      <c r="Y87" s="5">
        <v>1</v>
      </c>
      <c r="Z87" s="5">
        <v>22</v>
      </c>
      <c r="AA87" s="5">
        <v>1</v>
      </c>
      <c r="AB87" s="5">
        <v>22</v>
      </c>
      <c r="IF87">
        <v>-1</v>
      </c>
    </row>
    <row r="88" spans="1:240" x14ac:dyDescent="0.2">
      <c r="A88" s="5">
        <v>50</v>
      </c>
      <c r="B88" s="5">
        <v>0</v>
      </c>
      <c r="C88" s="5">
        <v>0</v>
      </c>
      <c r="D88" s="5">
        <v>1</v>
      </c>
      <c r="E88" s="5">
        <v>205</v>
      </c>
      <c r="F88" s="5">
        <f>ROUND(Source!S73,O88)</f>
        <v>55</v>
      </c>
      <c r="G88" s="5" t="s">
        <v>113</v>
      </c>
      <c r="H88" s="5" t="s">
        <v>114</v>
      </c>
      <c r="I88" s="5"/>
      <c r="J88" s="5"/>
      <c r="K88" s="5">
        <v>205</v>
      </c>
      <c r="L88" s="5">
        <v>14</v>
      </c>
      <c r="M88" s="5">
        <v>3</v>
      </c>
      <c r="N88" s="5" t="s">
        <v>3</v>
      </c>
      <c r="O88" s="5">
        <v>0</v>
      </c>
      <c r="P88" s="5">
        <f>ROUND(Source!DK73,O88)</f>
        <v>0</v>
      </c>
      <c r="Q88" s="5"/>
      <c r="R88" s="5"/>
      <c r="S88" s="5"/>
      <c r="T88" s="5"/>
      <c r="U88" s="5"/>
      <c r="V88" s="5"/>
      <c r="W88" s="5">
        <v>55</v>
      </c>
      <c r="X88" s="5">
        <v>1</v>
      </c>
      <c r="Y88" s="5">
        <v>55</v>
      </c>
      <c r="Z88" s="5">
        <v>2027</v>
      </c>
      <c r="AA88" s="5">
        <v>1</v>
      </c>
      <c r="AB88" s="5">
        <v>2027</v>
      </c>
      <c r="IF88">
        <v>-1</v>
      </c>
    </row>
    <row r="89" spans="1:240" x14ac:dyDescent="0.2">
      <c r="A89" s="5">
        <v>50</v>
      </c>
      <c r="B89" s="5">
        <v>0</v>
      </c>
      <c r="C89" s="5">
        <v>0</v>
      </c>
      <c r="D89" s="5">
        <v>1</v>
      </c>
      <c r="E89" s="5">
        <v>232</v>
      </c>
      <c r="F89" s="5">
        <f>ROUND(Source!BC73,O89)</f>
        <v>0</v>
      </c>
      <c r="G89" s="5" t="s">
        <v>115</v>
      </c>
      <c r="H89" s="5" t="s">
        <v>116</v>
      </c>
      <c r="I89" s="5"/>
      <c r="J89" s="5"/>
      <c r="K89" s="5">
        <v>232</v>
      </c>
      <c r="L89" s="5">
        <v>15</v>
      </c>
      <c r="M89" s="5">
        <v>3</v>
      </c>
      <c r="N89" s="5" t="s">
        <v>3</v>
      </c>
      <c r="O89" s="5">
        <v>0</v>
      </c>
      <c r="P89" s="5">
        <f>ROUND(Source!EU73,O89)</f>
        <v>0</v>
      </c>
      <c r="Q89" s="5"/>
      <c r="R89" s="5"/>
      <c r="S89" s="5"/>
      <c r="T89" s="5"/>
      <c r="U89" s="5"/>
      <c r="V89" s="5"/>
      <c r="W89" s="5">
        <v>0</v>
      </c>
      <c r="X89" s="5">
        <v>1</v>
      </c>
      <c r="Y89" s="5">
        <v>0</v>
      </c>
      <c r="Z89" s="5">
        <v>0</v>
      </c>
      <c r="AA89" s="5">
        <v>1</v>
      </c>
      <c r="AB89" s="5">
        <v>0</v>
      </c>
      <c r="IF89">
        <v>-1</v>
      </c>
    </row>
    <row r="90" spans="1:240" x14ac:dyDescent="0.2">
      <c r="A90" s="5">
        <v>50</v>
      </c>
      <c r="B90" s="5">
        <v>0</v>
      </c>
      <c r="C90" s="5">
        <v>0</v>
      </c>
      <c r="D90" s="5">
        <v>1</v>
      </c>
      <c r="E90" s="5">
        <v>214</v>
      </c>
      <c r="F90" s="5">
        <f>ROUND(Source!AS73,O90)</f>
        <v>608</v>
      </c>
      <c r="G90" s="5" t="s">
        <v>117</v>
      </c>
      <c r="H90" s="5" t="s">
        <v>118</v>
      </c>
      <c r="I90" s="5"/>
      <c r="J90" s="5"/>
      <c r="K90" s="5">
        <v>214</v>
      </c>
      <c r="L90" s="5">
        <v>16</v>
      </c>
      <c r="M90" s="5">
        <v>3</v>
      </c>
      <c r="N90" s="5" t="s">
        <v>3</v>
      </c>
      <c r="O90" s="5">
        <v>0</v>
      </c>
      <c r="P90" s="5">
        <f>ROUND(Source!EK73,O90)</f>
        <v>3692</v>
      </c>
      <c r="Q90" s="5"/>
      <c r="R90" s="5"/>
      <c r="S90" s="5"/>
      <c r="T90" s="5"/>
      <c r="U90" s="5"/>
      <c r="V90" s="5"/>
      <c r="W90" s="5">
        <v>608</v>
      </c>
      <c r="X90" s="5">
        <v>1</v>
      </c>
      <c r="Y90" s="5">
        <v>608</v>
      </c>
      <c r="Z90" s="5">
        <v>8759</v>
      </c>
      <c r="AA90" s="5">
        <v>1</v>
      </c>
      <c r="AB90" s="5">
        <v>8759</v>
      </c>
      <c r="IF90">
        <v>-1</v>
      </c>
    </row>
    <row r="91" spans="1:240" x14ac:dyDescent="0.2">
      <c r="A91" s="5">
        <v>50</v>
      </c>
      <c r="B91" s="5">
        <v>0</v>
      </c>
      <c r="C91" s="5">
        <v>0</v>
      </c>
      <c r="D91" s="5">
        <v>1</v>
      </c>
      <c r="E91" s="5">
        <v>215</v>
      </c>
      <c r="F91" s="5">
        <f>ROUND(Source!AT73,O91)</f>
        <v>0</v>
      </c>
      <c r="G91" s="5" t="s">
        <v>119</v>
      </c>
      <c r="H91" s="5" t="s">
        <v>120</v>
      </c>
      <c r="I91" s="5"/>
      <c r="J91" s="5"/>
      <c r="K91" s="5">
        <v>215</v>
      </c>
      <c r="L91" s="5">
        <v>17</v>
      </c>
      <c r="M91" s="5">
        <v>3</v>
      </c>
      <c r="N91" s="5" t="s">
        <v>3</v>
      </c>
      <c r="O91" s="5">
        <v>0</v>
      </c>
      <c r="P91" s="5">
        <f>ROUND(Source!EL73,O91)</f>
        <v>0</v>
      </c>
      <c r="Q91" s="5"/>
      <c r="R91" s="5"/>
      <c r="S91" s="5"/>
      <c r="T91" s="5"/>
      <c r="U91" s="5"/>
      <c r="V91" s="5"/>
      <c r="W91" s="5">
        <v>0</v>
      </c>
      <c r="X91" s="5">
        <v>1</v>
      </c>
      <c r="Y91" s="5">
        <v>0</v>
      </c>
      <c r="Z91" s="5">
        <v>0</v>
      </c>
      <c r="AA91" s="5">
        <v>1</v>
      </c>
      <c r="AB91" s="5">
        <v>0</v>
      </c>
      <c r="IF91">
        <v>-1</v>
      </c>
    </row>
    <row r="92" spans="1:240" x14ac:dyDescent="0.2">
      <c r="A92" s="5">
        <v>50</v>
      </c>
      <c r="B92" s="5">
        <v>0</v>
      </c>
      <c r="C92" s="5">
        <v>0</v>
      </c>
      <c r="D92" s="5">
        <v>1</v>
      </c>
      <c r="E92" s="5">
        <v>217</v>
      </c>
      <c r="F92" s="5">
        <f>ROUND(Source!AU73,O92)</f>
        <v>0</v>
      </c>
      <c r="G92" s="5" t="s">
        <v>121</v>
      </c>
      <c r="H92" s="5" t="s">
        <v>122</v>
      </c>
      <c r="I92" s="5"/>
      <c r="J92" s="5"/>
      <c r="K92" s="5">
        <v>217</v>
      </c>
      <c r="L92" s="5">
        <v>18</v>
      </c>
      <c r="M92" s="5">
        <v>3</v>
      </c>
      <c r="N92" s="5" t="s">
        <v>3</v>
      </c>
      <c r="O92" s="5">
        <v>0</v>
      </c>
      <c r="P92" s="5">
        <f>ROUND(Source!EM73,O92)</f>
        <v>0</v>
      </c>
      <c r="Q92" s="5"/>
      <c r="R92" s="5"/>
      <c r="S92" s="5"/>
      <c r="T92" s="5"/>
      <c r="U92" s="5"/>
      <c r="V92" s="5"/>
      <c r="W92" s="5">
        <v>0</v>
      </c>
      <c r="X92" s="5">
        <v>1</v>
      </c>
      <c r="Y92" s="5">
        <v>0</v>
      </c>
      <c r="Z92" s="5">
        <v>0</v>
      </c>
      <c r="AA92" s="5">
        <v>1</v>
      </c>
      <c r="AB92" s="5">
        <v>0</v>
      </c>
      <c r="IF92">
        <v>-1</v>
      </c>
    </row>
    <row r="93" spans="1:240" x14ac:dyDescent="0.2">
      <c r="A93" s="5">
        <v>50</v>
      </c>
      <c r="B93" s="5">
        <v>0</v>
      </c>
      <c r="C93" s="5">
        <v>0</v>
      </c>
      <c r="D93" s="5">
        <v>1</v>
      </c>
      <c r="E93" s="5">
        <v>230</v>
      </c>
      <c r="F93" s="5">
        <f>ROUND(Source!BA73,O93)</f>
        <v>0</v>
      </c>
      <c r="G93" s="5" t="s">
        <v>123</v>
      </c>
      <c r="H93" s="5" t="s">
        <v>124</v>
      </c>
      <c r="I93" s="5"/>
      <c r="J93" s="5"/>
      <c r="K93" s="5">
        <v>230</v>
      </c>
      <c r="L93" s="5">
        <v>19</v>
      </c>
      <c r="M93" s="5">
        <v>3</v>
      </c>
      <c r="N93" s="5" t="s">
        <v>3</v>
      </c>
      <c r="O93" s="5">
        <v>0</v>
      </c>
      <c r="P93" s="5">
        <f>ROUND(Source!ES73,O93)</f>
        <v>0</v>
      </c>
      <c r="Q93" s="5"/>
      <c r="R93" s="5"/>
      <c r="S93" s="5"/>
      <c r="T93" s="5"/>
      <c r="U93" s="5"/>
      <c r="V93" s="5"/>
      <c r="W93" s="5">
        <v>0</v>
      </c>
      <c r="X93" s="5">
        <v>1</v>
      </c>
      <c r="Y93" s="5">
        <v>0</v>
      </c>
      <c r="Z93" s="5">
        <v>0</v>
      </c>
      <c r="AA93" s="5">
        <v>1</v>
      </c>
      <c r="AB93" s="5">
        <v>0</v>
      </c>
      <c r="IF93">
        <v>-1</v>
      </c>
    </row>
    <row r="94" spans="1:240" x14ac:dyDescent="0.2">
      <c r="A94" s="5">
        <v>50</v>
      </c>
      <c r="B94" s="5">
        <v>0</v>
      </c>
      <c r="C94" s="5">
        <v>0</v>
      </c>
      <c r="D94" s="5">
        <v>1</v>
      </c>
      <c r="E94" s="5">
        <v>206</v>
      </c>
      <c r="F94" s="5">
        <f>ROUND(Source!T73,O94)</f>
        <v>0</v>
      </c>
      <c r="G94" s="5" t="s">
        <v>125</v>
      </c>
      <c r="H94" s="5" t="s">
        <v>126</v>
      </c>
      <c r="I94" s="5"/>
      <c r="J94" s="5"/>
      <c r="K94" s="5">
        <v>206</v>
      </c>
      <c r="L94" s="5">
        <v>20</v>
      </c>
      <c r="M94" s="5">
        <v>3</v>
      </c>
      <c r="N94" s="5" t="s">
        <v>3</v>
      </c>
      <c r="O94" s="5">
        <v>0</v>
      </c>
      <c r="P94" s="5">
        <f>ROUND(Source!DL73,O94)</f>
        <v>0</v>
      </c>
      <c r="Q94" s="5"/>
      <c r="R94" s="5"/>
      <c r="S94" s="5"/>
      <c r="T94" s="5"/>
      <c r="U94" s="5"/>
      <c r="V94" s="5"/>
      <c r="W94" s="5">
        <v>0</v>
      </c>
      <c r="X94" s="5">
        <v>1</v>
      </c>
      <c r="Y94" s="5">
        <v>0</v>
      </c>
      <c r="Z94" s="5">
        <v>0</v>
      </c>
      <c r="AA94" s="5">
        <v>1</v>
      </c>
      <c r="AB94" s="5">
        <v>0</v>
      </c>
      <c r="IF94">
        <v>-1</v>
      </c>
    </row>
    <row r="95" spans="1:240" x14ac:dyDescent="0.2">
      <c r="A95" s="5">
        <v>50</v>
      </c>
      <c r="B95" s="5">
        <v>0</v>
      </c>
      <c r="C95" s="5">
        <v>0</v>
      </c>
      <c r="D95" s="5">
        <v>1</v>
      </c>
      <c r="E95" s="5">
        <v>207</v>
      </c>
      <c r="F95" s="5">
        <f>Source!U73</f>
        <v>6.5289120000000009</v>
      </c>
      <c r="G95" s="5" t="s">
        <v>127</v>
      </c>
      <c r="H95" s="5" t="s">
        <v>128</v>
      </c>
      <c r="I95" s="5"/>
      <c r="J95" s="5"/>
      <c r="K95" s="5">
        <v>207</v>
      </c>
      <c r="L95" s="5">
        <v>21</v>
      </c>
      <c r="M95" s="5">
        <v>3</v>
      </c>
      <c r="N95" s="5" t="s">
        <v>3</v>
      </c>
      <c r="O95" s="5">
        <v>-1</v>
      </c>
      <c r="P95" s="5">
        <f>Source!DM73</f>
        <v>6.5289120000000009</v>
      </c>
      <c r="Q95" s="5"/>
      <c r="R95" s="5"/>
      <c r="S95" s="5"/>
      <c r="T95" s="5"/>
      <c r="U95" s="5"/>
      <c r="V95" s="5"/>
      <c r="W95" s="5">
        <v>6.528912</v>
      </c>
      <c r="X95" s="5">
        <v>1</v>
      </c>
      <c r="Y95" s="5">
        <v>6.528912</v>
      </c>
      <c r="Z95" s="5">
        <v>6.528912</v>
      </c>
      <c r="AA95" s="5">
        <v>1</v>
      </c>
      <c r="AB95" s="5">
        <v>6.528912</v>
      </c>
      <c r="IF95">
        <v>-1</v>
      </c>
    </row>
    <row r="96" spans="1:240" x14ac:dyDescent="0.2">
      <c r="A96" s="5">
        <v>50</v>
      </c>
      <c r="B96" s="5">
        <v>0</v>
      </c>
      <c r="C96" s="5">
        <v>0</v>
      </c>
      <c r="D96" s="5">
        <v>1</v>
      </c>
      <c r="E96" s="5">
        <v>208</v>
      </c>
      <c r="F96" s="5">
        <f>Source!V73</f>
        <v>5.9808E-2</v>
      </c>
      <c r="G96" s="5" t="s">
        <v>129</v>
      </c>
      <c r="H96" s="5" t="s">
        <v>130</v>
      </c>
      <c r="I96" s="5"/>
      <c r="J96" s="5"/>
      <c r="K96" s="5">
        <v>208</v>
      </c>
      <c r="L96" s="5">
        <v>22</v>
      </c>
      <c r="M96" s="5">
        <v>3</v>
      </c>
      <c r="N96" s="5" t="s">
        <v>3</v>
      </c>
      <c r="O96" s="5">
        <v>-1</v>
      </c>
      <c r="P96" s="5">
        <f>Source!DN73</f>
        <v>5.9808E-2</v>
      </c>
      <c r="Q96" s="5"/>
      <c r="R96" s="5"/>
      <c r="S96" s="5"/>
      <c r="T96" s="5"/>
      <c r="U96" s="5"/>
      <c r="V96" s="5"/>
      <c r="W96" s="5">
        <v>5.9808E-2</v>
      </c>
      <c r="X96" s="5">
        <v>1</v>
      </c>
      <c r="Y96" s="5">
        <v>5.9808E-2</v>
      </c>
      <c r="Z96" s="5">
        <v>5.9808E-2</v>
      </c>
      <c r="AA96" s="5">
        <v>1</v>
      </c>
      <c r="AB96" s="5">
        <v>5.9808E-2</v>
      </c>
      <c r="IF96">
        <v>-1</v>
      </c>
    </row>
    <row r="97" spans="1:240" x14ac:dyDescent="0.2">
      <c r="A97" s="5">
        <v>50</v>
      </c>
      <c r="B97" s="5">
        <v>0</v>
      </c>
      <c r="C97" s="5">
        <v>0</v>
      </c>
      <c r="D97" s="5">
        <v>1</v>
      </c>
      <c r="E97" s="5">
        <v>209</v>
      </c>
      <c r="F97" s="5">
        <f>ROUND(Source!W73,O97)</f>
        <v>0</v>
      </c>
      <c r="G97" s="5" t="s">
        <v>131</v>
      </c>
      <c r="H97" s="5" t="s">
        <v>132</v>
      </c>
      <c r="I97" s="5"/>
      <c r="J97" s="5"/>
      <c r="K97" s="5">
        <v>209</v>
      </c>
      <c r="L97" s="5">
        <v>23</v>
      </c>
      <c r="M97" s="5">
        <v>3</v>
      </c>
      <c r="N97" s="5" t="s">
        <v>3</v>
      </c>
      <c r="O97" s="5">
        <v>0</v>
      </c>
      <c r="P97" s="5">
        <f>ROUND(Source!DO73,O97)</f>
        <v>0</v>
      </c>
      <c r="Q97" s="5"/>
      <c r="R97" s="5"/>
      <c r="S97" s="5"/>
      <c r="T97" s="5"/>
      <c r="U97" s="5"/>
      <c r="V97" s="5"/>
      <c r="W97" s="5">
        <v>0</v>
      </c>
      <c r="X97" s="5">
        <v>1</v>
      </c>
      <c r="Y97" s="5">
        <v>0</v>
      </c>
      <c r="Z97" s="5">
        <v>0</v>
      </c>
      <c r="AA97" s="5">
        <v>1</v>
      </c>
      <c r="AB97" s="5">
        <v>0</v>
      </c>
      <c r="IF97">
        <v>-1</v>
      </c>
    </row>
    <row r="98" spans="1:240" x14ac:dyDescent="0.2">
      <c r="A98" s="5">
        <v>50</v>
      </c>
      <c r="B98" s="5">
        <v>0</v>
      </c>
      <c r="C98" s="5">
        <v>0</v>
      </c>
      <c r="D98" s="5">
        <v>1</v>
      </c>
      <c r="E98" s="5">
        <v>233</v>
      </c>
      <c r="F98" s="5">
        <f>ROUND(Source!BD73,O98)</f>
        <v>0</v>
      </c>
      <c r="G98" s="5" t="s">
        <v>133</v>
      </c>
      <c r="H98" s="5" t="s">
        <v>134</v>
      </c>
      <c r="I98" s="5"/>
      <c r="J98" s="5"/>
      <c r="K98" s="5">
        <v>233</v>
      </c>
      <c r="L98" s="5">
        <v>24</v>
      </c>
      <c r="M98" s="5">
        <v>3</v>
      </c>
      <c r="N98" s="5" t="s">
        <v>3</v>
      </c>
      <c r="O98" s="5">
        <v>0</v>
      </c>
      <c r="P98" s="5">
        <f>ROUND(Source!EV73,O98)</f>
        <v>0</v>
      </c>
      <c r="Q98" s="5"/>
      <c r="R98" s="5"/>
      <c r="S98" s="5"/>
      <c r="T98" s="5"/>
      <c r="U98" s="5"/>
      <c r="V98" s="5"/>
      <c r="W98" s="5">
        <v>0</v>
      </c>
      <c r="X98" s="5">
        <v>1</v>
      </c>
      <c r="Y98" s="5">
        <v>0</v>
      </c>
      <c r="Z98" s="5">
        <v>0</v>
      </c>
      <c r="AA98" s="5">
        <v>1</v>
      </c>
      <c r="AB98" s="5">
        <v>0</v>
      </c>
      <c r="IF98">
        <v>-1</v>
      </c>
    </row>
    <row r="99" spans="1:240" x14ac:dyDescent="0.2">
      <c r="A99" s="5">
        <v>50</v>
      </c>
      <c r="B99" s="5">
        <v>0</v>
      </c>
      <c r="C99" s="5">
        <v>0</v>
      </c>
      <c r="D99" s="5">
        <v>1</v>
      </c>
      <c r="E99" s="5">
        <v>210</v>
      </c>
      <c r="F99" s="5">
        <f>ROUND(Source!X73,O99)</f>
        <v>54</v>
      </c>
      <c r="G99" s="5" t="s">
        <v>135</v>
      </c>
      <c r="H99" s="5" t="s">
        <v>136</v>
      </c>
      <c r="I99" s="5"/>
      <c r="J99" s="5"/>
      <c r="K99" s="5">
        <v>210</v>
      </c>
      <c r="L99" s="5">
        <v>25</v>
      </c>
      <c r="M99" s="5">
        <v>3</v>
      </c>
      <c r="N99" s="5" t="s">
        <v>3</v>
      </c>
      <c r="O99" s="5">
        <v>0</v>
      </c>
      <c r="P99" s="5">
        <f>ROUND(Source!DP73,O99)</f>
        <v>0</v>
      </c>
      <c r="Q99" s="5"/>
      <c r="R99" s="5"/>
      <c r="S99" s="5"/>
      <c r="T99" s="5"/>
      <c r="U99" s="5"/>
      <c r="V99" s="5"/>
      <c r="W99" s="5">
        <v>54</v>
      </c>
      <c r="X99" s="5">
        <v>1</v>
      </c>
      <c r="Y99" s="5">
        <v>54</v>
      </c>
      <c r="Z99" s="5">
        <v>1956</v>
      </c>
      <c r="AA99" s="5">
        <v>1</v>
      </c>
      <c r="AB99" s="5">
        <v>1956</v>
      </c>
      <c r="IF99">
        <v>-1</v>
      </c>
    </row>
    <row r="100" spans="1:240" x14ac:dyDescent="0.2">
      <c r="A100" s="5">
        <v>50</v>
      </c>
      <c r="B100" s="5">
        <v>0</v>
      </c>
      <c r="C100" s="5">
        <v>0</v>
      </c>
      <c r="D100" s="5">
        <v>1</v>
      </c>
      <c r="E100" s="5">
        <v>211</v>
      </c>
      <c r="F100" s="5">
        <f>ROUND(Source!Y73,O100)</f>
        <v>28</v>
      </c>
      <c r="G100" s="5" t="s">
        <v>137</v>
      </c>
      <c r="H100" s="5" t="s">
        <v>138</v>
      </c>
      <c r="I100" s="5"/>
      <c r="J100" s="5"/>
      <c r="K100" s="5">
        <v>211</v>
      </c>
      <c r="L100" s="5">
        <v>26</v>
      </c>
      <c r="M100" s="5">
        <v>3</v>
      </c>
      <c r="N100" s="5" t="s">
        <v>3</v>
      </c>
      <c r="O100" s="5">
        <v>0</v>
      </c>
      <c r="P100" s="5">
        <f>ROUND(Source!DQ73,O100)</f>
        <v>0</v>
      </c>
      <c r="Q100" s="5"/>
      <c r="R100" s="5"/>
      <c r="S100" s="5"/>
      <c r="T100" s="5"/>
      <c r="U100" s="5"/>
      <c r="V100" s="5"/>
      <c r="W100" s="5">
        <v>28</v>
      </c>
      <c r="X100" s="5">
        <v>1</v>
      </c>
      <c r="Y100" s="5">
        <v>28</v>
      </c>
      <c r="Z100" s="5">
        <v>1058</v>
      </c>
      <c r="AA100" s="5">
        <v>1</v>
      </c>
      <c r="AB100" s="5">
        <v>1058</v>
      </c>
      <c r="IF100">
        <v>-1</v>
      </c>
    </row>
    <row r="101" spans="1:240" x14ac:dyDescent="0.2">
      <c r="A101" s="5">
        <v>50</v>
      </c>
      <c r="B101" s="5">
        <v>0</v>
      </c>
      <c r="C101" s="5">
        <v>0</v>
      </c>
      <c r="D101" s="5">
        <v>1</v>
      </c>
      <c r="E101" s="5">
        <v>224</v>
      </c>
      <c r="F101" s="5">
        <f>ROUND(Source!AR73,O101)</f>
        <v>608</v>
      </c>
      <c r="G101" s="5" t="s">
        <v>139</v>
      </c>
      <c r="H101" s="5" t="s">
        <v>140</v>
      </c>
      <c r="I101" s="5"/>
      <c r="J101" s="5"/>
      <c r="K101" s="5">
        <v>224</v>
      </c>
      <c r="L101" s="5">
        <v>27</v>
      </c>
      <c r="M101" s="5">
        <v>3</v>
      </c>
      <c r="N101" s="5" t="s">
        <v>3</v>
      </c>
      <c r="O101" s="5">
        <v>0</v>
      </c>
      <c r="P101" s="5">
        <f>ROUND(Source!EJ73,O101)</f>
        <v>3692</v>
      </c>
      <c r="Q101" s="5"/>
      <c r="R101" s="5"/>
      <c r="S101" s="5"/>
      <c r="T101" s="5"/>
      <c r="U101" s="5"/>
      <c r="V101" s="5"/>
      <c r="W101" s="5">
        <v>608</v>
      </c>
      <c r="X101" s="5">
        <v>1</v>
      </c>
      <c r="Y101" s="5">
        <v>608</v>
      </c>
      <c r="Z101" s="5">
        <v>8759</v>
      </c>
      <c r="AA101" s="5">
        <v>1</v>
      </c>
      <c r="AB101" s="5">
        <v>8759</v>
      </c>
      <c r="IF101">
        <v>-1</v>
      </c>
    </row>
    <row r="102" spans="1:240" x14ac:dyDescent="0.2">
      <c r="IF102">
        <v>-1</v>
      </c>
    </row>
    <row r="103" spans="1:240" x14ac:dyDescent="0.2">
      <c r="IF103">
        <v>-1</v>
      </c>
    </row>
    <row r="104" spans="1:240" x14ac:dyDescent="0.2">
      <c r="A104">
        <v>70</v>
      </c>
      <c r="B104">
        <v>1</v>
      </c>
      <c r="D104">
        <v>1</v>
      </c>
      <c r="E104" t="s">
        <v>141</v>
      </c>
      <c r="F104" t="s">
        <v>142</v>
      </c>
      <c r="G104">
        <v>1</v>
      </c>
      <c r="H104">
        <v>0</v>
      </c>
      <c r="I104" t="s">
        <v>3</v>
      </c>
      <c r="J104">
        <v>1</v>
      </c>
      <c r="K104">
        <v>0</v>
      </c>
      <c r="L104" t="s">
        <v>3</v>
      </c>
      <c r="M104" t="s">
        <v>3</v>
      </c>
      <c r="N104">
        <v>0</v>
      </c>
      <c r="O104">
        <v>1</v>
      </c>
      <c r="P104" t="s">
        <v>143</v>
      </c>
      <c r="IF104">
        <v>-1</v>
      </c>
    </row>
    <row r="105" spans="1:240" x14ac:dyDescent="0.2">
      <c r="A105">
        <v>70</v>
      </c>
      <c r="B105">
        <v>1</v>
      </c>
      <c r="D105">
        <v>2</v>
      </c>
      <c r="E105" t="s">
        <v>144</v>
      </c>
      <c r="F105" t="s">
        <v>145</v>
      </c>
      <c r="G105">
        <v>0</v>
      </c>
      <c r="H105">
        <v>0</v>
      </c>
      <c r="I105" t="s">
        <v>3</v>
      </c>
      <c r="J105">
        <v>1</v>
      </c>
      <c r="K105">
        <v>0</v>
      </c>
      <c r="L105" t="s">
        <v>3</v>
      </c>
      <c r="M105" t="s">
        <v>3</v>
      </c>
      <c r="N105">
        <v>0</v>
      </c>
      <c r="O105">
        <v>0</v>
      </c>
      <c r="P105" t="s">
        <v>146</v>
      </c>
      <c r="IF105">
        <v>-1</v>
      </c>
    </row>
    <row r="106" spans="1:240" x14ac:dyDescent="0.2">
      <c r="A106">
        <v>70</v>
      </c>
      <c r="B106">
        <v>1</v>
      </c>
      <c r="D106">
        <v>3</v>
      </c>
      <c r="E106" t="s">
        <v>147</v>
      </c>
      <c r="F106" t="s">
        <v>148</v>
      </c>
      <c r="G106">
        <v>0</v>
      </c>
      <c r="H106">
        <v>0</v>
      </c>
      <c r="I106" t="s">
        <v>3</v>
      </c>
      <c r="J106">
        <v>1</v>
      </c>
      <c r="K106">
        <v>0</v>
      </c>
      <c r="L106" t="s">
        <v>3</v>
      </c>
      <c r="M106" t="s">
        <v>3</v>
      </c>
      <c r="N106">
        <v>0</v>
      </c>
      <c r="O106">
        <v>0</v>
      </c>
      <c r="P106" t="s">
        <v>149</v>
      </c>
      <c r="IF106">
        <v>-1</v>
      </c>
    </row>
    <row r="107" spans="1:240" x14ac:dyDescent="0.2">
      <c r="A107">
        <v>70</v>
      </c>
      <c r="B107">
        <v>1</v>
      </c>
      <c r="D107">
        <v>4</v>
      </c>
      <c r="E107" t="s">
        <v>150</v>
      </c>
      <c r="F107" t="s">
        <v>151</v>
      </c>
      <c r="G107">
        <v>1</v>
      </c>
      <c r="H107">
        <v>0</v>
      </c>
      <c r="I107" t="s">
        <v>3</v>
      </c>
      <c r="J107">
        <v>2</v>
      </c>
      <c r="K107">
        <v>0</v>
      </c>
      <c r="L107" t="s">
        <v>3</v>
      </c>
      <c r="M107" t="s">
        <v>3</v>
      </c>
      <c r="N107">
        <v>0</v>
      </c>
      <c r="O107">
        <v>1</v>
      </c>
      <c r="P107" t="s">
        <v>3</v>
      </c>
      <c r="IF107">
        <v>-1</v>
      </c>
    </row>
    <row r="108" spans="1:240" x14ac:dyDescent="0.2">
      <c r="A108">
        <v>70</v>
      </c>
      <c r="B108">
        <v>1</v>
      </c>
      <c r="D108">
        <v>5</v>
      </c>
      <c r="E108" t="s">
        <v>152</v>
      </c>
      <c r="F108" t="s">
        <v>153</v>
      </c>
      <c r="G108">
        <v>0</v>
      </c>
      <c r="H108">
        <v>0</v>
      </c>
      <c r="I108" t="s">
        <v>3</v>
      </c>
      <c r="J108">
        <v>2</v>
      </c>
      <c r="K108">
        <v>0</v>
      </c>
      <c r="L108" t="s">
        <v>3</v>
      </c>
      <c r="M108" t="s">
        <v>3</v>
      </c>
      <c r="N108">
        <v>0</v>
      </c>
      <c r="O108">
        <v>0</v>
      </c>
      <c r="P108" t="s">
        <v>3</v>
      </c>
      <c r="IF108">
        <v>-1</v>
      </c>
    </row>
    <row r="109" spans="1:240" x14ac:dyDescent="0.2">
      <c r="A109">
        <v>70</v>
      </c>
      <c r="B109">
        <v>1</v>
      </c>
      <c r="D109">
        <v>6</v>
      </c>
      <c r="E109" t="s">
        <v>154</v>
      </c>
      <c r="F109" t="s">
        <v>155</v>
      </c>
      <c r="G109">
        <v>0</v>
      </c>
      <c r="H109">
        <v>0</v>
      </c>
      <c r="I109" t="s">
        <v>3</v>
      </c>
      <c r="J109">
        <v>2</v>
      </c>
      <c r="K109">
        <v>0</v>
      </c>
      <c r="L109" t="s">
        <v>3</v>
      </c>
      <c r="M109" t="s">
        <v>3</v>
      </c>
      <c r="N109">
        <v>0</v>
      </c>
      <c r="O109">
        <v>0</v>
      </c>
      <c r="P109" t="s">
        <v>3</v>
      </c>
      <c r="IF109">
        <v>-1</v>
      </c>
    </row>
    <row r="110" spans="1:240" x14ac:dyDescent="0.2">
      <c r="A110">
        <v>70</v>
      </c>
      <c r="B110">
        <v>1</v>
      </c>
      <c r="D110">
        <v>7</v>
      </c>
      <c r="E110" t="s">
        <v>156</v>
      </c>
      <c r="F110" t="s">
        <v>157</v>
      </c>
      <c r="G110">
        <v>0</v>
      </c>
      <c r="H110">
        <v>0</v>
      </c>
      <c r="I110" t="s">
        <v>158</v>
      </c>
      <c r="J110">
        <v>0</v>
      </c>
      <c r="K110">
        <v>0</v>
      </c>
      <c r="L110" t="s">
        <v>3</v>
      </c>
      <c r="M110" t="s">
        <v>3</v>
      </c>
      <c r="N110">
        <v>0</v>
      </c>
      <c r="O110">
        <v>0</v>
      </c>
      <c r="P110" t="s">
        <v>159</v>
      </c>
      <c r="IF110">
        <v>-1</v>
      </c>
    </row>
    <row r="111" spans="1:240" x14ac:dyDescent="0.2">
      <c r="A111">
        <v>70</v>
      </c>
      <c r="B111">
        <v>1</v>
      </c>
      <c r="D111">
        <v>8</v>
      </c>
      <c r="E111" t="s">
        <v>160</v>
      </c>
      <c r="F111" t="s">
        <v>161</v>
      </c>
      <c r="G111">
        <v>1</v>
      </c>
      <c r="H111">
        <v>0</v>
      </c>
      <c r="I111" t="s">
        <v>3</v>
      </c>
      <c r="J111">
        <v>5</v>
      </c>
      <c r="K111">
        <v>0</v>
      </c>
      <c r="L111" t="s">
        <v>3</v>
      </c>
      <c r="M111" t="s">
        <v>3</v>
      </c>
      <c r="N111">
        <v>0</v>
      </c>
      <c r="O111">
        <v>1</v>
      </c>
      <c r="P111" t="s">
        <v>3</v>
      </c>
      <c r="IF111">
        <v>-1</v>
      </c>
    </row>
    <row r="112" spans="1:240" x14ac:dyDescent="0.2">
      <c r="A112">
        <v>70</v>
      </c>
      <c r="B112">
        <v>1</v>
      </c>
      <c r="D112">
        <v>9</v>
      </c>
      <c r="E112" t="s">
        <v>162</v>
      </c>
      <c r="F112" t="s">
        <v>163</v>
      </c>
      <c r="G112">
        <v>0</v>
      </c>
      <c r="H112">
        <v>0</v>
      </c>
      <c r="I112" t="s">
        <v>3</v>
      </c>
      <c r="J112">
        <v>5</v>
      </c>
      <c r="K112">
        <v>0</v>
      </c>
      <c r="L112" t="s">
        <v>3</v>
      </c>
      <c r="M112" t="s">
        <v>3</v>
      </c>
      <c r="N112">
        <v>0</v>
      </c>
      <c r="O112">
        <v>0</v>
      </c>
      <c r="P112" t="s">
        <v>164</v>
      </c>
      <c r="IF112">
        <v>-1</v>
      </c>
    </row>
    <row r="113" spans="1:240" x14ac:dyDescent="0.2">
      <c r="A113">
        <v>70</v>
      </c>
      <c r="B113">
        <v>1</v>
      </c>
      <c r="D113">
        <v>10</v>
      </c>
      <c r="E113" t="s">
        <v>165</v>
      </c>
      <c r="F113" t="s">
        <v>166</v>
      </c>
      <c r="G113">
        <v>0</v>
      </c>
      <c r="H113">
        <v>0</v>
      </c>
      <c r="I113" t="s">
        <v>167</v>
      </c>
      <c r="J113">
        <v>5</v>
      </c>
      <c r="K113">
        <v>0</v>
      </c>
      <c r="L113" t="s">
        <v>3</v>
      </c>
      <c r="M113" t="s">
        <v>3</v>
      </c>
      <c r="N113">
        <v>0</v>
      </c>
      <c r="O113">
        <v>0</v>
      </c>
      <c r="P113" t="s">
        <v>168</v>
      </c>
      <c r="IF113">
        <v>-1</v>
      </c>
    </row>
    <row r="114" spans="1:240" x14ac:dyDescent="0.2">
      <c r="A114">
        <v>70</v>
      </c>
      <c r="B114">
        <v>1</v>
      </c>
      <c r="D114">
        <v>11</v>
      </c>
      <c r="E114" t="s">
        <v>169</v>
      </c>
      <c r="F114" t="s">
        <v>170</v>
      </c>
      <c r="G114">
        <v>0</v>
      </c>
      <c r="H114">
        <v>0</v>
      </c>
      <c r="I114" t="s">
        <v>171</v>
      </c>
      <c r="J114">
        <v>0</v>
      </c>
      <c r="K114">
        <v>0</v>
      </c>
      <c r="L114" t="s">
        <v>3</v>
      </c>
      <c r="M114" t="s">
        <v>3</v>
      </c>
      <c r="N114">
        <v>0</v>
      </c>
      <c r="O114">
        <v>0</v>
      </c>
      <c r="P114" t="s">
        <v>172</v>
      </c>
      <c r="IF114">
        <v>-1</v>
      </c>
    </row>
    <row r="115" spans="1:240" x14ac:dyDescent="0.2">
      <c r="A115">
        <v>70</v>
      </c>
      <c r="B115">
        <v>1</v>
      </c>
      <c r="D115">
        <v>12</v>
      </c>
      <c r="E115" t="s">
        <v>173</v>
      </c>
      <c r="F115" t="s">
        <v>174</v>
      </c>
      <c r="G115">
        <v>0</v>
      </c>
      <c r="H115">
        <v>0</v>
      </c>
      <c r="I115" t="s">
        <v>175</v>
      </c>
      <c r="J115">
        <v>0</v>
      </c>
      <c r="K115">
        <v>0</v>
      </c>
      <c r="L115" t="s">
        <v>3</v>
      </c>
      <c r="M115" t="s">
        <v>3</v>
      </c>
      <c r="N115">
        <v>0</v>
      </c>
      <c r="O115">
        <v>0</v>
      </c>
      <c r="P115" t="s">
        <v>176</v>
      </c>
      <c r="IF115">
        <v>-1</v>
      </c>
    </row>
    <row r="116" spans="1:240" x14ac:dyDescent="0.2">
      <c r="A116">
        <v>70</v>
      </c>
      <c r="B116">
        <v>1</v>
      </c>
      <c r="D116">
        <v>13</v>
      </c>
      <c r="E116" t="s">
        <v>177</v>
      </c>
      <c r="F116" t="s">
        <v>178</v>
      </c>
      <c r="G116">
        <v>0</v>
      </c>
      <c r="H116">
        <v>0</v>
      </c>
      <c r="I116" t="s">
        <v>179</v>
      </c>
      <c r="J116">
        <v>0</v>
      </c>
      <c r="K116">
        <v>0</v>
      </c>
      <c r="L116" t="s">
        <v>3</v>
      </c>
      <c r="M116" t="s">
        <v>3</v>
      </c>
      <c r="N116">
        <v>0</v>
      </c>
      <c r="O116">
        <v>0</v>
      </c>
      <c r="P116" t="s">
        <v>180</v>
      </c>
      <c r="IF116">
        <v>-1</v>
      </c>
    </row>
    <row r="117" spans="1:240" x14ac:dyDescent="0.2">
      <c r="A117">
        <v>70</v>
      </c>
      <c r="B117">
        <v>1</v>
      </c>
      <c r="D117">
        <v>14</v>
      </c>
      <c r="E117" t="s">
        <v>181</v>
      </c>
      <c r="F117" t="s">
        <v>182</v>
      </c>
      <c r="G117">
        <v>0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  <c r="O117">
        <v>0</v>
      </c>
      <c r="P117" t="s">
        <v>183</v>
      </c>
      <c r="IF117">
        <v>-1</v>
      </c>
    </row>
    <row r="118" spans="1:240" x14ac:dyDescent="0.2">
      <c r="A118">
        <v>70</v>
      </c>
      <c r="B118">
        <v>1</v>
      </c>
      <c r="D118">
        <v>15</v>
      </c>
      <c r="E118" t="s">
        <v>184</v>
      </c>
      <c r="F118" t="s">
        <v>185</v>
      </c>
      <c r="G118">
        <v>0</v>
      </c>
      <c r="H118">
        <v>0</v>
      </c>
      <c r="I118" t="s">
        <v>3</v>
      </c>
      <c r="J118">
        <v>3</v>
      </c>
      <c r="K118">
        <v>0</v>
      </c>
      <c r="L118" t="s">
        <v>3</v>
      </c>
      <c r="M118" t="s">
        <v>3</v>
      </c>
      <c r="N118">
        <v>0</v>
      </c>
      <c r="O118">
        <v>0</v>
      </c>
      <c r="P118" t="s">
        <v>3</v>
      </c>
      <c r="IF118">
        <v>-1</v>
      </c>
    </row>
    <row r="119" spans="1:240" x14ac:dyDescent="0.2">
      <c r="A119">
        <v>70</v>
      </c>
      <c r="B119">
        <v>1</v>
      </c>
      <c r="D119">
        <v>16</v>
      </c>
      <c r="E119" t="s">
        <v>186</v>
      </c>
      <c r="F119" t="s">
        <v>187</v>
      </c>
      <c r="G119">
        <v>1</v>
      </c>
      <c r="H119">
        <v>0</v>
      </c>
      <c r="I119" t="s">
        <v>3</v>
      </c>
      <c r="J119">
        <v>3</v>
      </c>
      <c r="K119">
        <v>0</v>
      </c>
      <c r="L119" t="s">
        <v>3</v>
      </c>
      <c r="M119" t="s">
        <v>3</v>
      </c>
      <c r="N119">
        <v>0</v>
      </c>
      <c r="O119">
        <v>1</v>
      </c>
      <c r="P119" t="s">
        <v>3</v>
      </c>
      <c r="IF119">
        <v>-1</v>
      </c>
    </row>
    <row r="120" spans="1:240" x14ac:dyDescent="0.2">
      <c r="A120">
        <v>70</v>
      </c>
      <c r="B120">
        <v>1</v>
      </c>
      <c r="D120">
        <v>1</v>
      </c>
      <c r="E120" t="s">
        <v>188</v>
      </c>
      <c r="F120" t="s">
        <v>189</v>
      </c>
      <c r="G120">
        <v>0.9</v>
      </c>
      <c r="H120">
        <v>1</v>
      </c>
      <c r="I120" t="s">
        <v>190</v>
      </c>
      <c r="J120">
        <v>0</v>
      </c>
      <c r="K120">
        <v>0</v>
      </c>
      <c r="L120" t="s">
        <v>3</v>
      </c>
      <c r="M120" t="s">
        <v>3</v>
      </c>
      <c r="N120">
        <v>0</v>
      </c>
      <c r="O120">
        <v>0.9</v>
      </c>
      <c r="P120" t="s">
        <v>191</v>
      </c>
      <c r="IF120">
        <v>-1</v>
      </c>
    </row>
    <row r="121" spans="1:240" x14ac:dyDescent="0.2">
      <c r="A121">
        <v>70</v>
      </c>
      <c r="B121">
        <v>1</v>
      </c>
      <c r="D121">
        <v>2</v>
      </c>
      <c r="E121" t="s">
        <v>192</v>
      </c>
      <c r="F121" t="s">
        <v>193</v>
      </c>
      <c r="G121">
        <v>0.85</v>
      </c>
      <c r="H121">
        <v>1</v>
      </c>
      <c r="I121" t="s">
        <v>194</v>
      </c>
      <c r="J121">
        <v>0</v>
      </c>
      <c r="K121">
        <v>0</v>
      </c>
      <c r="L121" t="s">
        <v>3</v>
      </c>
      <c r="M121" t="s">
        <v>3</v>
      </c>
      <c r="N121">
        <v>0</v>
      </c>
      <c r="O121">
        <v>0.85</v>
      </c>
      <c r="P121" t="s">
        <v>195</v>
      </c>
      <c r="IF121">
        <v>-1</v>
      </c>
    </row>
    <row r="122" spans="1:240" x14ac:dyDescent="0.2">
      <c r="A122">
        <v>70</v>
      </c>
      <c r="B122">
        <v>1</v>
      </c>
      <c r="D122">
        <v>3</v>
      </c>
      <c r="E122" t="s">
        <v>196</v>
      </c>
      <c r="F122" t="s">
        <v>197</v>
      </c>
      <c r="G122">
        <v>1.03</v>
      </c>
      <c r="H122">
        <v>0</v>
      </c>
      <c r="I122" t="s">
        <v>3</v>
      </c>
      <c r="J122">
        <v>0</v>
      </c>
      <c r="K122">
        <v>0</v>
      </c>
      <c r="L122" t="s">
        <v>3</v>
      </c>
      <c r="M122" t="s">
        <v>3</v>
      </c>
      <c r="N122">
        <v>0</v>
      </c>
      <c r="O122">
        <v>1.03</v>
      </c>
      <c r="P122" t="s">
        <v>198</v>
      </c>
      <c r="IF122">
        <v>-1</v>
      </c>
    </row>
    <row r="123" spans="1:240" x14ac:dyDescent="0.2">
      <c r="A123">
        <v>70</v>
      </c>
      <c r="B123">
        <v>1</v>
      </c>
      <c r="D123">
        <v>4</v>
      </c>
      <c r="E123" t="s">
        <v>199</v>
      </c>
      <c r="F123" t="s">
        <v>200</v>
      </c>
      <c r="G123">
        <v>1.1499999999999999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  <c r="O123">
        <v>1.1499999999999999</v>
      </c>
      <c r="P123" t="s">
        <v>201</v>
      </c>
      <c r="IF123">
        <v>-1</v>
      </c>
    </row>
    <row r="124" spans="1:240" x14ac:dyDescent="0.2">
      <c r="A124">
        <v>70</v>
      </c>
      <c r="B124">
        <v>1</v>
      </c>
      <c r="D124">
        <v>5</v>
      </c>
      <c r="E124" t="s">
        <v>202</v>
      </c>
      <c r="F124" t="s">
        <v>203</v>
      </c>
      <c r="G124">
        <v>7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  <c r="O124">
        <v>7</v>
      </c>
      <c r="P124" t="s">
        <v>3</v>
      </c>
      <c r="IF124">
        <v>-1</v>
      </c>
    </row>
    <row r="125" spans="1:240" x14ac:dyDescent="0.2">
      <c r="A125">
        <v>70</v>
      </c>
      <c r="B125">
        <v>1</v>
      </c>
      <c r="D125">
        <v>6</v>
      </c>
      <c r="E125" t="s">
        <v>204</v>
      </c>
      <c r="F125" t="s">
        <v>3</v>
      </c>
      <c r="G125">
        <v>2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  <c r="O125">
        <v>2</v>
      </c>
      <c r="P125" t="s">
        <v>3</v>
      </c>
      <c r="IF125">
        <v>-1</v>
      </c>
    </row>
    <row r="126" spans="1:240" x14ac:dyDescent="0.2">
      <c r="IF126">
        <v>-1</v>
      </c>
    </row>
    <row r="127" spans="1:240" x14ac:dyDescent="0.2">
      <c r="A127">
        <v>-1</v>
      </c>
      <c r="IF127">
        <v>-1</v>
      </c>
    </row>
    <row r="128" spans="1:240" x14ac:dyDescent="0.2">
      <c r="IF128">
        <v>-1</v>
      </c>
    </row>
    <row r="129" spans="1:240" x14ac:dyDescent="0.2">
      <c r="A129" s="4">
        <v>75</v>
      </c>
      <c r="B129" s="4" t="s">
        <v>205</v>
      </c>
      <c r="C129" s="4">
        <v>2000</v>
      </c>
      <c r="D129" s="4">
        <v>0</v>
      </c>
      <c r="E129" s="4">
        <v>1</v>
      </c>
      <c r="F129" s="4"/>
      <c r="G129" s="4">
        <v>0</v>
      </c>
      <c r="H129" s="4">
        <v>1</v>
      </c>
      <c r="I129" s="4">
        <v>0</v>
      </c>
      <c r="J129" s="4">
        <v>4</v>
      </c>
      <c r="K129" s="4">
        <v>0</v>
      </c>
      <c r="L129" s="4">
        <v>0</v>
      </c>
      <c r="M129" s="4">
        <v>0</v>
      </c>
      <c r="N129" s="4">
        <v>91261330</v>
      </c>
      <c r="O129" s="4">
        <v>1</v>
      </c>
      <c r="IF129">
        <v>-1</v>
      </c>
    </row>
    <row r="130" spans="1:240" x14ac:dyDescent="0.2">
      <c r="A130" s="4">
        <v>75</v>
      </c>
      <c r="B130" s="4" t="s">
        <v>206</v>
      </c>
      <c r="C130" s="4">
        <v>2026</v>
      </c>
      <c r="D130" s="4">
        <v>1</v>
      </c>
      <c r="E130" s="4">
        <v>0</v>
      </c>
      <c r="F130" s="4"/>
      <c r="G130" s="4">
        <v>0</v>
      </c>
      <c r="H130" s="4">
        <v>1</v>
      </c>
      <c r="I130" s="4">
        <v>0</v>
      </c>
      <c r="J130" s="4">
        <v>4</v>
      </c>
      <c r="K130" s="4">
        <v>0</v>
      </c>
      <c r="L130" s="4">
        <v>0</v>
      </c>
      <c r="M130" s="4">
        <v>1</v>
      </c>
      <c r="N130" s="4">
        <v>91261331</v>
      </c>
      <c r="O130" s="4">
        <v>2</v>
      </c>
      <c r="IF130">
        <v>-1</v>
      </c>
    </row>
    <row r="131" spans="1:240" x14ac:dyDescent="0.2">
      <c r="A131" s="6">
        <v>3</v>
      </c>
      <c r="B131" s="6" t="s">
        <v>207</v>
      </c>
      <c r="C131" s="6">
        <v>1</v>
      </c>
      <c r="D131" s="6">
        <v>10.88</v>
      </c>
      <c r="E131" s="6">
        <v>13.51</v>
      </c>
      <c r="F131" s="6">
        <v>36.99</v>
      </c>
      <c r="G131" s="6">
        <v>36.99</v>
      </c>
      <c r="H131" s="6">
        <v>1</v>
      </c>
      <c r="I131" s="6">
        <v>1</v>
      </c>
      <c r="J131" s="6">
        <v>2</v>
      </c>
      <c r="K131" s="6">
        <v>1</v>
      </c>
      <c r="L131" s="6">
        <v>1</v>
      </c>
      <c r="M131" s="6">
        <v>1</v>
      </c>
      <c r="N131" s="6">
        <v>10.88</v>
      </c>
      <c r="O131" s="6">
        <v>1</v>
      </c>
      <c r="P131" s="6">
        <v>1</v>
      </c>
      <c r="Q131" s="6">
        <v>1</v>
      </c>
      <c r="R131" s="6">
        <v>1</v>
      </c>
      <c r="S131" s="6" t="s">
        <v>3</v>
      </c>
      <c r="T131" s="6" t="s">
        <v>3</v>
      </c>
      <c r="U131" s="6" t="s">
        <v>3</v>
      </c>
      <c r="V131" s="6" t="s">
        <v>3</v>
      </c>
      <c r="W131" s="6" t="s">
        <v>3</v>
      </c>
      <c r="X131" s="6" t="s">
        <v>3</v>
      </c>
      <c r="Y131" s="6" t="s">
        <v>3</v>
      </c>
      <c r="Z131" s="6" t="s">
        <v>3</v>
      </c>
      <c r="AA131" s="6" t="s">
        <v>3</v>
      </c>
      <c r="AB131" s="6" t="s">
        <v>3</v>
      </c>
      <c r="AC131" s="6" t="s">
        <v>3</v>
      </c>
      <c r="AD131" s="6" t="s">
        <v>3</v>
      </c>
      <c r="AE131" s="6" t="s">
        <v>3</v>
      </c>
      <c r="AF131" s="6" t="s">
        <v>3</v>
      </c>
      <c r="AG131" s="6" t="s">
        <v>3</v>
      </c>
      <c r="AH131" s="6" t="s">
        <v>3</v>
      </c>
      <c r="AI131" s="6"/>
      <c r="AJ131" s="6"/>
      <c r="AK131" s="6"/>
      <c r="AL131" s="6"/>
      <c r="AM131" s="6"/>
      <c r="AN131" s="6">
        <v>91261332</v>
      </c>
      <c r="IF131">
        <v>-1</v>
      </c>
    </row>
    <row r="132" spans="1:240" x14ac:dyDescent="0.2">
      <c r="IF132">
        <v>-1</v>
      </c>
    </row>
    <row r="133" spans="1:240" x14ac:dyDescent="0.2">
      <c r="IF133">
        <v>-1</v>
      </c>
    </row>
    <row r="134" spans="1:240" x14ac:dyDescent="0.2">
      <c r="IF134">
        <v>-1</v>
      </c>
    </row>
    <row r="135" spans="1:240" x14ac:dyDescent="0.2">
      <c r="A135">
        <v>65</v>
      </c>
      <c r="C135">
        <v>1</v>
      </c>
      <c r="D135">
        <v>0</v>
      </c>
      <c r="E135">
        <v>245</v>
      </c>
      <c r="IF135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208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65519</v>
      </c>
      <c r="M1">
        <v>66419234</v>
      </c>
      <c r="N1">
        <v>11</v>
      </c>
      <c r="O1">
        <v>15</v>
      </c>
      <c r="P1">
        <v>0</v>
      </c>
      <c r="Q1">
        <v>0</v>
      </c>
    </row>
    <row r="9" spans="1:133" x14ac:dyDescent="0.2">
      <c r="A9" s="1">
        <v>1</v>
      </c>
      <c r="B9" s="1">
        <v>1</v>
      </c>
      <c r="C9" s="1">
        <v>-1</v>
      </c>
      <c r="D9" s="1"/>
      <c r="E9" s="1"/>
      <c r="F9" s="1" t="s">
        <v>4</v>
      </c>
      <c r="G9" s="1" t="s">
        <v>5</v>
      </c>
      <c r="H9" s="1" t="s">
        <v>3</v>
      </c>
      <c r="I9" s="1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  <c r="O9" s="1" t="s">
        <v>3</v>
      </c>
      <c r="P9" s="1">
        <v>0</v>
      </c>
      <c r="Q9" s="1" t="s">
        <v>3</v>
      </c>
      <c r="R9" s="1" t="s">
        <v>3</v>
      </c>
      <c r="S9" s="1" t="s">
        <v>3</v>
      </c>
      <c r="T9" s="1" t="s">
        <v>3</v>
      </c>
      <c r="U9" s="1" t="s">
        <v>3</v>
      </c>
      <c r="V9" s="1" t="s">
        <v>3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>
        <v>0</v>
      </c>
    </row>
    <row r="12" spans="1:133" x14ac:dyDescent="0.2">
      <c r="A12" s="1">
        <v>1</v>
      </c>
      <c r="B12" s="1">
        <v>51</v>
      </c>
      <c r="C12" s="1">
        <v>1</v>
      </c>
      <c r="D12" s="1"/>
      <c r="E12" s="1">
        <v>0</v>
      </c>
      <c r="F12" s="1" t="s">
        <v>6</v>
      </c>
      <c r="G12" s="1" t="s">
        <v>6</v>
      </c>
      <c r="H12" s="1" t="s">
        <v>3</v>
      </c>
      <c r="I12" s="1">
        <v>0</v>
      </c>
      <c r="J12" s="1" t="s">
        <v>7</v>
      </c>
      <c r="K12" s="1">
        <v>0</v>
      </c>
      <c r="L12" s="1">
        <v>0</v>
      </c>
      <c r="M12" s="1">
        <v>1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86024200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91261330</v>
      </c>
      <c r="E14" s="1">
        <v>91261331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14</v>
      </c>
      <c r="D16" s="7" t="s">
        <v>15</v>
      </c>
      <c r="E16" s="8">
        <f>ROUND((Source!F60)/1000,2)</f>
        <v>0.61</v>
      </c>
      <c r="F16" s="8">
        <f>ROUND((Source!F61)/1000,2)</f>
        <v>0</v>
      </c>
      <c r="G16" s="8">
        <f>ROUND((Source!F52)/1000,2)</f>
        <v>0</v>
      </c>
      <c r="H16" s="8">
        <f>ROUND((Source!F62)/1000+(Source!F63)/1000,2)</f>
        <v>0</v>
      </c>
      <c r="I16" s="8">
        <f>E16+F16+G16+H16</f>
        <v>0.61</v>
      </c>
      <c r="J16" s="8">
        <f>ROUND((Source!F58+Source!F57)/1000,2)</f>
        <v>0.06</v>
      </c>
      <c r="K16" s="8">
        <v>1</v>
      </c>
      <c r="L16" s="8">
        <v>0</v>
      </c>
      <c r="M16" s="8">
        <v>0</v>
      </c>
      <c r="N16" s="8">
        <f>I16+L16+M16</f>
        <v>0.61</v>
      </c>
      <c r="T16" s="9">
        <f>ROUND((Source!P60)/1000,2)</f>
        <v>3.69</v>
      </c>
      <c r="U16" s="9">
        <f>ROUND((Source!P61)/1000,2)</f>
        <v>0</v>
      </c>
      <c r="V16" s="9">
        <f>ROUND((Source!P52)/1000,2)</f>
        <v>0</v>
      </c>
      <c r="W16" s="9">
        <f>ROUND((Source!P62)/1000+(Source!P63)/1000,2)</f>
        <v>0</v>
      </c>
      <c r="X16" s="9">
        <f>T16+U16+V16+W16</f>
        <v>3.69</v>
      </c>
      <c r="Y16" s="9">
        <f>ROUND((Source!P58+Source!P57)/1000,2)</f>
        <v>0</v>
      </c>
      <c r="Z16" s="9">
        <v>9.44</v>
      </c>
      <c r="AA16" s="9">
        <v>0</v>
      </c>
      <c r="AB16" s="9">
        <v>0</v>
      </c>
      <c r="AC16" s="9">
        <f>X16+AA16+AB16</f>
        <v>3.69</v>
      </c>
      <c r="AI16" s="7">
        <v>0</v>
      </c>
      <c r="AJ16" s="7">
        <v>-1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526</v>
      </c>
      <c r="AU16" s="8">
        <v>469</v>
      </c>
      <c r="AV16" s="8">
        <v>0</v>
      </c>
      <c r="AW16" s="8">
        <v>0</v>
      </c>
      <c r="AX16" s="8">
        <v>0</v>
      </c>
      <c r="AY16" s="8">
        <v>2</v>
      </c>
      <c r="AZ16" s="8">
        <v>1</v>
      </c>
      <c r="BA16" s="8">
        <v>55</v>
      </c>
      <c r="BB16" s="8">
        <v>608</v>
      </c>
      <c r="BC16" s="8">
        <v>0</v>
      </c>
      <c r="BD16" s="8">
        <v>0</v>
      </c>
      <c r="BE16" s="8">
        <v>0</v>
      </c>
      <c r="BF16" s="8">
        <v>6.528912</v>
      </c>
      <c r="BG16" s="8">
        <v>5.9808E-2</v>
      </c>
      <c r="BH16" s="8">
        <v>0</v>
      </c>
      <c r="BI16" s="8">
        <v>54</v>
      </c>
      <c r="BJ16" s="8">
        <v>28</v>
      </c>
      <c r="BK16" s="8">
        <v>608</v>
      </c>
      <c r="BR16" s="9">
        <v>5745</v>
      </c>
      <c r="BS16" s="9">
        <v>3692</v>
      </c>
      <c r="BT16" s="9">
        <v>0</v>
      </c>
      <c r="BU16" s="9">
        <v>0</v>
      </c>
      <c r="BV16" s="9">
        <v>0</v>
      </c>
      <c r="BW16" s="9">
        <v>26</v>
      </c>
      <c r="BX16" s="9">
        <v>22</v>
      </c>
      <c r="BY16" s="9">
        <v>2027</v>
      </c>
      <c r="BZ16" s="9">
        <v>8759</v>
      </c>
      <c r="CA16" s="9">
        <v>0</v>
      </c>
      <c r="CB16" s="9">
        <v>0</v>
      </c>
      <c r="CC16" s="9">
        <v>0</v>
      </c>
      <c r="CD16" s="9">
        <v>6.528912</v>
      </c>
      <c r="CE16" s="9">
        <v>5.9808E-2</v>
      </c>
      <c r="CF16" s="9">
        <v>0</v>
      </c>
      <c r="CG16" s="9">
        <v>1956</v>
      </c>
      <c r="CH16" s="9">
        <v>1058</v>
      </c>
      <c r="CI16" s="9">
        <v>8759</v>
      </c>
    </row>
    <row r="18" spans="1:29" x14ac:dyDescent="0.2">
      <c r="A18">
        <v>51</v>
      </c>
      <c r="E18">
        <v>0.61</v>
      </c>
      <c r="F18">
        <v>0</v>
      </c>
      <c r="G18">
        <v>0</v>
      </c>
      <c r="H18">
        <v>0</v>
      </c>
      <c r="I18">
        <v>0.61</v>
      </c>
      <c r="J18">
        <v>0.06</v>
      </c>
      <c r="K18">
        <v>1</v>
      </c>
      <c r="L18">
        <v>0</v>
      </c>
      <c r="M18">
        <v>0</v>
      </c>
      <c r="N18">
        <v>0.61</v>
      </c>
      <c r="T18">
        <v>8.76</v>
      </c>
      <c r="U18">
        <v>0</v>
      </c>
      <c r="V18">
        <v>0</v>
      </c>
      <c r="W18">
        <v>0</v>
      </c>
      <c r="X18">
        <v>8.76</v>
      </c>
      <c r="Y18">
        <v>2.0499999999999998</v>
      </c>
      <c r="Z18">
        <v>9.44</v>
      </c>
      <c r="AA18">
        <v>0</v>
      </c>
      <c r="AB18">
        <v>0</v>
      </c>
      <c r="AC18">
        <v>8.76</v>
      </c>
    </row>
    <row r="20" spans="1:29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526</v>
      </c>
      <c r="G20" s="5" t="s">
        <v>87</v>
      </c>
      <c r="H20" s="5" t="s">
        <v>88</v>
      </c>
      <c r="I20" s="5"/>
      <c r="J20" s="5"/>
      <c r="K20" s="5">
        <v>201</v>
      </c>
      <c r="L20" s="5">
        <v>1</v>
      </c>
      <c r="M20" s="5">
        <v>3</v>
      </c>
      <c r="N20" s="5" t="s">
        <v>3</v>
      </c>
      <c r="O20" s="5">
        <v>0</v>
      </c>
      <c r="P20" s="5">
        <v>5745</v>
      </c>
    </row>
    <row r="21" spans="1:29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469</v>
      </c>
      <c r="G21" s="5" t="s">
        <v>89</v>
      </c>
      <c r="H21" s="5" t="s">
        <v>90</v>
      </c>
      <c r="I21" s="5"/>
      <c r="J21" s="5"/>
      <c r="K21" s="5">
        <v>202</v>
      </c>
      <c r="L21" s="5">
        <v>2</v>
      </c>
      <c r="M21" s="5">
        <v>3</v>
      </c>
      <c r="N21" s="5" t="s">
        <v>3</v>
      </c>
      <c r="O21" s="5">
        <v>0</v>
      </c>
      <c r="P21" s="5">
        <v>3692</v>
      </c>
    </row>
    <row r="22" spans="1:29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91</v>
      </c>
      <c r="H22" s="5" t="s">
        <v>92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0</v>
      </c>
      <c r="P22" s="5">
        <v>0</v>
      </c>
    </row>
    <row r="23" spans="1:29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469</v>
      </c>
      <c r="G23" s="5" t="s">
        <v>93</v>
      </c>
      <c r="H23" s="5" t="s">
        <v>94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0</v>
      </c>
      <c r="P23" s="5">
        <v>3692</v>
      </c>
    </row>
    <row r="24" spans="1:29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469</v>
      </c>
      <c r="G24" s="5" t="s">
        <v>95</v>
      </c>
      <c r="H24" s="5" t="s">
        <v>96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0</v>
      </c>
      <c r="P24" s="5">
        <v>3692</v>
      </c>
    </row>
    <row r="25" spans="1:29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97</v>
      </c>
      <c r="H25" s="5" t="s">
        <v>98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0</v>
      </c>
      <c r="P25" s="5">
        <v>0</v>
      </c>
    </row>
    <row r="26" spans="1:29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469</v>
      </c>
      <c r="G26" s="5" t="s">
        <v>99</v>
      </c>
      <c r="H26" s="5" t="s">
        <v>100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0</v>
      </c>
      <c r="P26" s="5">
        <v>3692</v>
      </c>
    </row>
    <row r="27" spans="1:29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101</v>
      </c>
      <c r="H27" s="5" t="s">
        <v>102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0</v>
      </c>
      <c r="P27" s="5">
        <v>0</v>
      </c>
    </row>
    <row r="28" spans="1:29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103</v>
      </c>
      <c r="H28" s="5" t="s">
        <v>104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0</v>
      </c>
      <c r="P28" s="5">
        <v>0</v>
      </c>
    </row>
    <row r="29" spans="1:29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105</v>
      </c>
      <c r="H29" s="5" t="s">
        <v>106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0</v>
      </c>
      <c r="P29" s="5">
        <v>0</v>
      </c>
    </row>
    <row r="30" spans="1:29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2</v>
      </c>
      <c r="G30" s="5" t="s">
        <v>107</v>
      </c>
      <c r="H30" s="5" t="s">
        <v>108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0</v>
      </c>
      <c r="P30" s="5">
        <v>26</v>
      </c>
    </row>
    <row r="31" spans="1:29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109</v>
      </c>
      <c r="H31" s="5" t="s">
        <v>110</v>
      </c>
      <c r="I31" s="5"/>
      <c r="J31" s="5"/>
      <c r="K31" s="5">
        <v>231</v>
      </c>
      <c r="L31" s="5">
        <v>12</v>
      </c>
      <c r="M31" s="5">
        <v>3</v>
      </c>
      <c r="N31" s="5" t="s">
        <v>3</v>
      </c>
      <c r="O31" s="5">
        <v>0</v>
      </c>
      <c r="P31" s="5">
        <v>0</v>
      </c>
    </row>
    <row r="32" spans="1:29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1</v>
      </c>
      <c r="G32" s="5" t="s">
        <v>111</v>
      </c>
      <c r="H32" s="5" t="s">
        <v>112</v>
      </c>
      <c r="I32" s="5"/>
      <c r="J32" s="5"/>
      <c r="K32" s="5">
        <v>204</v>
      </c>
      <c r="L32" s="5">
        <v>13</v>
      </c>
      <c r="M32" s="5">
        <v>3</v>
      </c>
      <c r="N32" s="5" t="s">
        <v>3</v>
      </c>
      <c r="O32" s="5">
        <v>0</v>
      </c>
      <c r="P32" s="5">
        <v>22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55</v>
      </c>
      <c r="G33" s="5" t="s">
        <v>113</v>
      </c>
      <c r="H33" s="5" t="s">
        <v>114</v>
      </c>
      <c r="I33" s="5"/>
      <c r="J33" s="5"/>
      <c r="K33" s="5">
        <v>205</v>
      </c>
      <c r="L33" s="5">
        <v>14</v>
      </c>
      <c r="M33" s="5">
        <v>3</v>
      </c>
      <c r="N33" s="5" t="s">
        <v>3</v>
      </c>
      <c r="O33" s="5">
        <v>0</v>
      </c>
      <c r="P33" s="5">
        <v>2027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115</v>
      </c>
      <c r="H34" s="5" t="s">
        <v>116</v>
      </c>
      <c r="I34" s="5"/>
      <c r="J34" s="5"/>
      <c r="K34" s="5">
        <v>232</v>
      </c>
      <c r="L34" s="5">
        <v>15</v>
      </c>
      <c r="M34" s="5">
        <v>3</v>
      </c>
      <c r="N34" s="5" t="s">
        <v>3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608</v>
      </c>
      <c r="G35" s="5" t="s">
        <v>117</v>
      </c>
      <c r="H35" s="5" t="s">
        <v>118</v>
      </c>
      <c r="I35" s="5"/>
      <c r="J35" s="5"/>
      <c r="K35" s="5">
        <v>214</v>
      </c>
      <c r="L35" s="5">
        <v>16</v>
      </c>
      <c r="M35" s="5">
        <v>3</v>
      </c>
      <c r="N35" s="5" t="s">
        <v>3</v>
      </c>
      <c r="O35" s="5">
        <v>0</v>
      </c>
      <c r="P35" s="5">
        <v>8759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119</v>
      </c>
      <c r="H36" s="5" t="s">
        <v>120</v>
      </c>
      <c r="I36" s="5"/>
      <c r="J36" s="5"/>
      <c r="K36" s="5">
        <v>215</v>
      </c>
      <c r="L36" s="5">
        <v>17</v>
      </c>
      <c r="M36" s="5">
        <v>3</v>
      </c>
      <c r="N36" s="5" t="s">
        <v>3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121</v>
      </c>
      <c r="H37" s="5" t="s">
        <v>122</v>
      </c>
      <c r="I37" s="5"/>
      <c r="J37" s="5"/>
      <c r="K37" s="5">
        <v>217</v>
      </c>
      <c r="L37" s="5">
        <v>18</v>
      </c>
      <c r="M37" s="5">
        <v>3</v>
      </c>
      <c r="N37" s="5" t="s">
        <v>3</v>
      </c>
      <c r="O37" s="5">
        <v>0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123</v>
      </c>
      <c r="H38" s="5" t="s">
        <v>124</v>
      </c>
      <c r="I38" s="5"/>
      <c r="J38" s="5"/>
      <c r="K38" s="5">
        <v>230</v>
      </c>
      <c r="L38" s="5">
        <v>19</v>
      </c>
      <c r="M38" s="5">
        <v>3</v>
      </c>
      <c r="N38" s="5" t="s">
        <v>3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125</v>
      </c>
      <c r="H39" s="5" t="s">
        <v>126</v>
      </c>
      <c r="I39" s="5"/>
      <c r="J39" s="5"/>
      <c r="K39" s="5">
        <v>206</v>
      </c>
      <c r="L39" s="5">
        <v>20</v>
      </c>
      <c r="M39" s="5">
        <v>3</v>
      </c>
      <c r="N39" s="5" t="s">
        <v>3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6.528912</v>
      </c>
      <c r="G40" s="5" t="s">
        <v>127</v>
      </c>
      <c r="H40" s="5" t="s">
        <v>128</v>
      </c>
      <c r="I40" s="5"/>
      <c r="J40" s="5"/>
      <c r="K40" s="5">
        <v>207</v>
      </c>
      <c r="L40" s="5">
        <v>21</v>
      </c>
      <c r="M40" s="5">
        <v>3</v>
      </c>
      <c r="N40" s="5" t="s">
        <v>3</v>
      </c>
      <c r="O40" s="5">
        <v>-1</v>
      </c>
      <c r="P40" s="5">
        <v>6.528912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5.9808E-2</v>
      </c>
      <c r="G41" s="5" t="s">
        <v>129</v>
      </c>
      <c r="H41" s="5" t="s">
        <v>130</v>
      </c>
      <c r="I41" s="5"/>
      <c r="J41" s="5"/>
      <c r="K41" s="5">
        <v>208</v>
      </c>
      <c r="L41" s="5">
        <v>22</v>
      </c>
      <c r="M41" s="5">
        <v>3</v>
      </c>
      <c r="N41" s="5" t="s">
        <v>3</v>
      </c>
      <c r="O41" s="5">
        <v>-1</v>
      </c>
      <c r="P41" s="5">
        <v>5.9808E-2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131</v>
      </c>
      <c r="H42" s="5" t="s">
        <v>132</v>
      </c>
      <c r="I42" s="5"/>
      <c r="J42" s="5"/>
      <c r="K42" s="5">
        <v>209</v>
      </c>
      <c r="L42" s="5">
        <v>23</v>
      </c>
      <c r="M42" s="5">
        <v>3</v>
      </c>
      <c r="N42" s="5" t="s">
        <v>3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0</v>
      </c>
      <c r="G43" s="5" t="s">
        <v>133</v>
      </c>
      <c r="H43" s="5" t="s">
        <v>134</v>
      </c>
      <c r="I43" s="5"/>
      <c r="J43" s="5"/>
      <c r="K43" s="5">
        <v>233</v>
      </c>
      <c r="L43" s="5">
        <v>24</v>
      </c>
      <c r="M43" s="5">
        <v>3</v>
      </c>
      <c r="N43" s="5" t="s">
        <v>3</v>
      </c>
      <c r="O43" s="5">
        <v>0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54</v>
      </c>
      <c r="G44" s="5" t="s">
        <v>135</v>
      </c>
      <c r="H44" s="5" t="s">
        <v>136</v>
      </c>
      <c r="I44" s="5"/>
      <c r="J44" s="5"/>
      <c r="K44" s="5">
        <v>210</v>
      </c>
      <c r="L44" s="5">
        <v>25</v>
      </c>
      <c r="M44" s="5">
        <v>3</v>
      </c>
      <c r="N44" s="5" t="s">
        <v>3</v>
      </c>
      <c r="O44" s="5">
        <v>0</v>
      </c>
      <c r="P44" s="5">
        <v>1956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28</v>
      </c>
      <c r="G45" s="5" t="s">
        <v>137</v>
      </c>
      <c r="H45" s="5" t="s">
        <v>138</v>
      </c>
      <c r="I45" s="5"/>
      <c r="J45" s="5"/>
      <c r="K45" s="5">
        <v>211</v>
      </c>
      <c r="L45" s="5">
        <v>26</v>
      </c>
      <c r="M45" s="5">
        <v>3</v>
      </c>
      <c r="N45" s="5" t="s">
        <v>3</v>
      </c>
      <c r="O45" s="5">
        <v>0</v>
      </c>
      <c r="P45" s="5">
        <v>1058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608</v>
      </c>
      <c r="G46" s="5" t="s">
        <v>139</v>
      </c>
      <c r="H46" s="5" t="s">
        <v>140</v>
      </c>
      <c r="I46" s="5"/>
      <c r="J46" s="5"/>
      <c r="K46" s="5">
        <v>224</v>
      </c>
      <c r="L46" s="5">
        <v>27</v>
      </c>
      <c r="M46" s="5">
        <v>3</v>
      </c>
      <c r="N46" s="5" t="s">
        <v>3</v>
      </c>
      <c r="O46" s="5">
        <v>0</v>
      </c>
      <c r="P46" s="5">
        <v>8759</v>
      </c>
    </row>
    <row r="48" spans="1:16" x14ac:dyDescent="0.2">
      <c r="A48">
        <v>-1</v>
      </c>
    </row>
    <row r="51" spans="1:40" x14ac:dyDescent="0.2">
      <c r="A51" s="4">
        <v>75</v>
      </c>
      <c r="B51" s="4" t="s">
        <v>205</v>
      </c>
      <c r="C51" s="4">
        <v>2000</v>
      </c>
      <c r="D51" s="4">
        <v>0</v>
      </c>
      <c r="E51" s="4">
        <v>1</v>
      </c>
      <c r="F51" s="4"/>
      <c r="G51" s="4">
        <v>0</v>
      </c>
      <c r="H51" s="4">
        <v>1</v>
      </c>
      <c r="I51" s="4">
        <v>0</v>
      </c>
      <c r="J51" s="4">
        <v>4</v>
      </c>
      <c r="K51" s="4">
        <v>0</v>
      </c>
      <c r="L51" s="4">
        <v>0</v>
      </c>
      <c r="M51" s="4">
        <v>0</v>
      </c>
      <c r="N51" s="4">
        <v>91261330</v>
      </c>
      <c r="O51" s="4">
        <v>1</v>
      </c>
    </row>
    <row r="52" spans="1:40" x14ac:dyDescent="0.2">
      <c r="A52" s="4">
        <v>75</v>
      </c>
      <c r="B52" s="4" t="s">
        <v>206</v>
      </c>
      <c r="C52" s="4">
        <v>2026</v>
      </c>
      <c r="D52" s="4">
        <v>1</v>
      </c>
      <c r="E52" s="4">
        <v>0</v>
      </c>
      <c r="F52" s="4"/>
      <c r="G52" s="4">
        <v>0</v>
      </c>
      <c r="H52" s="4">
        <v>1</v>
      </c>
      <c r="I52" s="4">
        <v>0</v>
      </c>
      <c r="J52" s="4">
        <v>4</v>
      </c>
      <c r="K52" s="4">
        <v>0</v>
      </c>
      <c r="L52" s="4">
        <v>0</v>
      </c>
      <c r="M52" s="4">
        <v>1</v>
      </c>
      <c r="N52" s="4">
        <v>91261331</v>
      </c>
      <c r="O52" s="4">
        <v>2</v>
      </c>
    </row>
    <row r="53" spans="1:40" x14ac:dyDescent="0.2">
      <c r="A53" s="6">
        <v>3</v>
      </c>
      <c r="B53" s="6" t="s">
        <v>207</v>
      </c>
      <c r="C53" s="6">
        <v>1</v>
      </c>
      <c r="D53" s="6">
        <v>10.88</v>
      </c>
      <c r="E53" s="6">
        <v>13.51</v>
      </c>
      <c r="F53" s="6">
        <v>36.99</v>
      </c>
      <c r="G53" s="6">
        <v>36.99</v>
      </c>
      <c r="H53" s="6">
        <v>1</v>
      </c>
      <c r="I53" s="6">
        <v>1</v>
      </c>
      <c r="J53" s="6">
        <v>2</v>
      </c>
      <c r="K53" s="6">
        <v>1</v>
      </c>
      <c r="L53" s="6">
        <v>1</v>
      </c>
      <c r="M53" s="6">
        <v>1</v>
      </c>
      <c r="N53" s="6">
        <v>10.88</v>
      </c>
      <c r="O53" s="6">
        <v>1</v>
      </c>
      <c r="P53" s="6">
        <v>1</v>
      </c>
      <c r="Q53" s="6">
        <v>1</v>
      </c>
      <c r="R53" s="6">
        <v>1</v>
      </c>
      <c r="S53" s="6" t="s">
        <v>3</v>
      </c>
      <c r="T53" s="6" t="s">
        <v>3</v>
      </c>
      <c r="U53" s="6" t="s">
        <v>3</v>
      </c>
      <c r="V53" s="6" t="s">
        <v>3</v>
      </c>
      <c r="W53" s="6" t="s">
        <v>3</v>
      </c>
      <c r="X53" s="6" t="s">
        <v>3</v>
      </c>
      <c r="Y53" s="6" t="s">
        <v>3</v>
      </c>
      <c r="Z53" s="6" t="s">
        <v>3</v>
      </c>
      <c r="AA53" s="6" t="s">
        <v>3</v>
      </c>
      <c r="AB53" s="6" t="s">
        <v>3</v>
      </c>
      <c r="AC53" s="6" t="s">
        <v>3</v>
      </c>
      <c r="AD53" s="6" t="s">
        <v>3</v>
      </c>
      <c r="AE53" s="6" t="s">
        <v>3</v>
      </c>
      <c r="AF53" s="6" t="s">
        <v>3</v>
      </c>
      <c r="AG53" s="6" t="s">
        <v>3</v>
      </c>
      <c r="AH53" s="6" t="s">
        <v>3</v>
      </c>
      <c r="AI53" s="6"/>
      <c r="AJ53" s="6"/>
      <c r="AK53" s="6"/>
      <c r="AL53" s="6"/>
      <c r="AM53" s="6"/>
      <c r="AN53" s="6">
        <v>91261332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R2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ROW(Source!A24)</f>
        <v>24</v>
      </c>
      <c r="B1">
        <v>91261330</v>
      </c>
      <c r="C1">
        <v>91269680</v>
      </c>
      <c r="D1">
        <v>27493207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W1">
        <v>0</v>
      </c>
      <c r="X1">
        <v>-1900352537</v>
      </c>
      <c r="Y1">
        <f>AT1</f>
        <v>20.8</v>
      </c>
      <c r="AA1">
        <v>0</v>
      </c>
      <c r="AB1">
        <v>0</v>
      </c>
      <c r="AC1">
        <v>0</v>
      </c>
      <c r="AD1">
        <v>7.87</v>
      </c>
      <c r="AE1">
        <v>0</v>
      </c>
      <c r="AF1">
        <v>0</v>
      </c>
      <c r="AG1">
        <v>0</v>
      </c>
      <c r="AH1">
        <v>7.87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20.8</v>
      </c>
      <c r="AU1" t="s">
        <v>3</v>
      </c>
      <c r="AV1">
        <v>1</v>
      </c>
      <c r="AW1">
        <v>2</v>
      </c>
      <c r="AX1">
        <v>91269682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ROUND(AT1*Source!I24*AH1*AL1,0)</f>
        <v>14</v>
      </c>
      <c r="CV1">
        <f>ROUND(Y1*Source!I24,9)</f>
        <v>1.7472000000000001</v>
      </c>
      <c r="CW1">
        <v>0</v>
      </c>
      <c r="CX1">
        <f>ROUND(Y1*Source!I24,9)</f>
        <v>1.7472000000000001</v>
      </c>
      <c r="CY1">
        <f t="shared" ref="CY1:CY6" si="0">AD1</f>
        <v>7.87</v>
      </c>
      <c r="CZ1">
        <f t="shared" ref="CZ1:CZ6" si="1">AH1</f>
        <v>7.87</v>
      </c>
      <c r="DA1">
        <f t="shared" ref="DA1:DA6" si="2">AL1</f>
        <v>1</v>
      </c>
      <c r="DB1">
        <f>ROUND(ROUND(AT1*CZ1,2),2)</f>
        <v>163.69999999999999</v>
      </c>
      <c r="DC1">
        <f>ROUND(ROUND(AT1*AG1,2),2)</f>
        <v>0</v>
      </c>
      <c r="DD1" t="s">
        <v>3</v>
      </c>
      <c r="DE1" t="s">
        <v>3</v>
      </c>
      <c r="DF1">
        <f t="shared" ref="DF1:DF17" si="3">ROUND(ROUND(AE1,0)*CX1,0)</f>
        <v>0</v>
      </c>
      <c r="DG1">
        <f t="shared" ref="DG1:DG9" si="4">ROUND(ROUND(AF1,0)*CX1,0)</f>
        <v>0</v>
      </c>
      <c r="DH1">
        <f t="shared" ref="DH1:DH8" si="5">ROUND(ROUND(AG1,0)*CX1,0)</f>
        <v>0</v>
      </c>
      <c r="DI1">
        <f>ROUND(ROUND(AH1,0)*CX1,0)</f>
        <v>14</v>
      </c>
      <c r="DJ1">
        <f t="shared" ref="DJ1:DJ6" si="6">DI1</f>
        <v>14</v>
      </c>
      <c r="DK1">
        <v>0</v>
      </c>
      <c r="DL1" t="s">
        <v>3</v>
      </c>
      <c r="DM1">
        <v>0</v>
      </c>
      <c r="DN1" t="s">
        <v>3</v>
      </c>
      <c r="DO1">
        <v>0</v>
      </c>
      <c r="GQ1">
        <v>-1</v>
      </c>
      <c r="GR1">
        <v>-1</v>
      </c>
    </row>
    <row r="2" spans="1:200" x14ac:dyDescent="0.2">
      <c r="A2">
        <f>ROW(Source!A25)</f>
        <v>25</v>
      </c>
      <c r="B2">
        <v>91261331</v>
      </c>
      <c r="C2">
        <v>91269680</v>
      </c>
      <c r="D2">
        <v>27493207</v>
      </c>
      <c r="E2">
        <v>1</v>
      </c>
      <c r="F2">
        <v>1</v>
      </c>
      <c r="G2">
        <v>1</v>
      </c>
      <c r="H2">
        <v>1</v>
      </c>
      <c r="I2" t="s">
        <v>209</v>
      </c>
      <c r="J2" t="s">
        <v>3</v>
      </c>
      <c r="K2" t="s">
        <v>210</v>
      </c>
      <c r="L2">
        <v>1369</v>
      </c>
      <c r="N2">
        <v>1013</v>
      </c>
      <c r="O2" t="s">
        <v>211</v>
      </c>
      <c r="P2" t="s">
        <v>211</v>
      </c>
      <c r="Q2">
        <v>1</v>
      </c>
      <c r="W2">
        <v>0</v>
      </c>
      <c r="X2">
        <v>-1900352537</v>
      </c>
      <c r="Y2">
        <f>AT2</f>
        <v>20.8</v>
      </c>
      <c r="AA2">
        <v>0</v>
      </c>
      <c r="AB2">
        <v>0</v>
      </c>
      <c r="AC2">
        <v>0</v>
      </c>
      <c r="AD2">
        <v>291.11</v>
      </c>
      <c r="AE2">
        <v>0</v>
      </c>
      <c r="AF2">
        <v>0</v>
      </c>
      <c r="AG2">
        <v>0</v>
      </c>
      <c r="AH2">
        <v>7.87</v>
      </c>
      <c r="AI2">
        <v>1</v>
      </c>
      <c r="AJ2">
        <v>1</v>
      </c>
      <c r="AK2">
        <v>1</v>
      </c>
      <c r="AL2">
        <v>36.99</v>
      </c>
      <c r="AM2">
        <v>4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20.8</v>
      </c>
      <c r="AU2" t="s">
        <v>3</v>
      </c>
      <c r="AV2">
        <v>1</v>
      </c>
      <c r="AW2">
        <v>2</v>
      </c>
      <c r="AX2">
        <v>91269682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U2">
        <f>ROUND(AT2*Source!I25*AH2*AL2,0)</f>
        <v>509</v>
      </c>
      <c r="CV2">
        <f>ROUND(Y2*Source!I25,9)</f>
        <v>1.7472000000000001</v>
      </c>
      <c r="CW2">
        <v>0</v>
      </c>
      <c r="CX2">
        <f>ROUND(Y2*Source!I25,9)</f>
        <v>1.7472000000000001</v>
      </c>
      <c r="CY2">
        <f t="shared" si="0"/>
        <v>291.11</v>
      </c>
      <c r="CZ2">
        <f t="shared" si="1"/>
        <v>7.87</v>
      </c>
      <c r="DA2">
        <f t="shared" si="2"/>
        <v>36.99</v>
      </c>
      <c r="DB2">
        <f>ROUND(ROUND(AT2*CZ2,2),2)</f>
        <v>163.69999999999999</v>
      </c>
      <c r="DC2">
        <f>ROUND(ROUND(AT2*AG2,2),2)</f>
        <v>0</v>
      </c>
      <c r="DD2" t="s">
        <v>3</v>
      </c>
      <c r="DE2" t="s">
        <v>3</v>
      </c>
      <c r="DF2">
        <f t="shared" si="3"/>
        <v>0</v>
      </c>
      <c r="DG2">
        <f t="shared" si="4"/>
        <v>0</v>
      </c>
      <c r="DH2">
        <f t="shared" si="5"/>
        <v>0</v>
      </c>
      <c r="DI2">
        <f>ROUND(ROUND(AH2*AL2,0)*CX2,0)</f>
        <v>508</v>
      </c>
      <c r="DJ2">
        <f t="shared" si="6"/>
        <v>508</v>
      </c>
      <c r="DK2">
        <v>0</v>
      </c>
      <c r="DL2" t="s">
        <v>3</v>
      </c>
      <c r="DM2">
        <v>0</v>
      </c>
      <c r="DN2" t="s">
        <v>3</v>
      </c>
      <c r="DO2">
        <v>0</v>
      </c>
      <c r="GQ2">
        <v>-1</v>
      </c>
      <c r="GR2">
        <v>-1</v>
      </c>
    </row>
    <row r="3" spans="1:200" x14ac:dyDescent="0.2">
      <c r="A3">
        <f>ROW(Source!A26)</f>
        <v>26</v>
      </c>
      <c r="B3">
        <v>91261330</v>
      </c>
      <c r="C3">
        <v>91264515</v>
      </c>
      <c r="D3">
        <v>27493458</v>
      </c>
      <c r="E3">
        <v>1</v>
      </c>
      <c r="F3">
        <v>1</v>
      </c>
      <c r="G3">
        <v>1</v>
      </c>
      <c r="H3">
        <v>1</v>
      </c>
      <c r="I3" t="s">
        <v>212</v>
      </c>
      <c r="J3" t="s">
        <v>3</v>
      </c>
      <c r="K3" t="s">
        <v>213</v>
      </c>
      <c r="L3">
        <v>1369</v>
      </c>
      <c r="N3">
        <v>1013</v>
      </c>
      <c r="O3" t="s">
        <v>211</v>
      </c>
      <c r="P3" t="s">
        <v>211</v>
      </c>
      <c r="Q3">
        <v>1</v>
      </c>
      <c r="W3">
        <v>0</v>
      </c>
      <c r="X3">
        <v>-115882720</v>
      </c>
      <c r="Y3">
        <f>(AT3*1.15)</f>
        <v>1.0349999999999999</v>
      </c>
      <c r="AA3">
        <v>0</v>
      </c>
      <c r="AB3">
        <v>0</v>
      </c>
      <c r="AC3">
        <v>0</v>
      </c>
      <c r="AD3">
        <v>8.6</v>
      </c>
      <c r="AE3">
        <v>0</v>
      </c>
      <c r="AF3">
        <v>0</v>
      </c>
      <c r="AG3">
        <v>0</v>
      </c>
      <c r="AH3">
        <v>8.6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0.9</v>
      </c>
      <c r="AU3" t="s">
        <v>32</v>
      </c>
      <c r="AV3">
        <v>1</v>
      </c>
      <c r="AW3">
        <v>2</v>
      </c>
      <c r="AX3">
        <v>91264517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U3">
        <f>ROUND(AT3*Source!I26*AH3*AL3,0)</f>
        <v>2</v>
      </c>
      <c r="CV3">
        <f>ROUND(Y3*Source!I26,9)</f>
        <v>0.24840000000000001</v>
      </c>
      <c r="CW3">
        <v>0</v>
      </c>
      <c r="CX3">
        <f>ROUND(Y3*Source!I26,9)</f>
        <v>0.24840000000000001</v>
      </c>
      <c r="CY3">
        <f t="shared" si="0"/>
        <v>8.6</v>
      </c>
      <c r="CZ3">
        <f t="shared" si="1"/>
        <v>8.6</v>
      </c>
      <c r="DA3">
        <f t="shared" si="2"/>
        <v>1</v>
      </c>
      <c r="DB3">
        <f>ROUND((ROUND(AT3*CZ3,2)*1.15),2)</f>
        <v>8.9</v>
      </c>
      <c r="DC3">
        <f>ROUND((ROUND(AT3*AG3,2)*1.15),2)</f>
        <v>0</v>
      </c>
      <c r="DD3" t="s">
        <v>3</v>
      </c>
      <c r="DE3" t="s">
        <v>3</v>
      </c>
      <c r="DF3">
        <f t="shared" si="3"/>
        <v>0</v>
      </c>
      <c r="DG3">
        <f t="shared" si="4"/>
        <v>0</v>
      </c>
      <c r="DH3">
        <f t="shared" si="5"/>
        <v>0</v>
      </c>
      <c r="DI3">
        <f>ROUND(ROUND(AH3,0)*CX3,0)</f>
        <v>2</v>
      </c>
      <c r="DJ3">
        <f t="shared" si="6"/>
        <v>2</v>
      </c>
      <c r="DK3">
        <v>0</v>
      </c>
      <c r="DL3" t="s">
        <v>3</v>
      </c>
      <c r="DM3">
        <v>0</v>
      </c>
      <c r="DN3" t="s">
        <v>3</v>
      </c>
      <c r="DO3">
        <v>0</v>
      </c>
      <c r="GQ3">
        <v>-1</v>
      </c>
      <c r="GR3">
        <v>-1</v>
      </c>
    </row>
    <row r="4" spans="1:200" x14ac:dyDescent="0.2">
      <c r="A4">
        <f>ROW(Source!A27)</f>
        <v>27</v>
      </c>
      <c r="B4">
        <v>91261331</v>
      </c>
      <c r="C4">
        <v>91264515</v>
      </c>
      <c r="D4">
        <v>27493458</v>
      </c>
      <c r="E4">
        <v>1</v>
      </c>
      <c r="F4">
        <v>1</v>
      </c>
      <c r="G4">
        <v>1</v>
      </c>
      <c r="H4">
        <v>1</v>
      </c>
      <c r="I4" t="s">
        <v>212</v>
      </c>
      <c r="J4" t="s">
        <v>3</v>
      </c>
      <c r="K4" t="s">
        <v>213</v>
      </c>
      <c r="L4">
        <v>1369</v>
      </c>
      <c r="N4">
        <v>1013</v>
      </c>
      <c r="O4" t="s">
        <v>211</v>
      </c>
      <c r="P4" t="s">
        <v>211</v>
      </c>
      <c r="Q4">
        <v>1</v>
      </c>
      <c r="W4">
        <v>0</v>
      </c>
      <c r="X4">
        <v>-115882720</v>
      </c>
      <c r="Y4">
        <f>(AT4*1.15)</f>
        <v>1.0349999999999999</v>
      </c>
      <c r="AA4">
        <v>0</v>
      </c>
      <c r="AB4">
        <v>0</v>
      </c>
      <c r="AC4">
        <v>0</v>
      </c>
      <c r="AD4">
        <v>318.11</v>
      </c>
      <c r="AE4">
        <v>0</v>
      </c>
      <c r="AF4">
        <v>0</v>
      </c>
      <c r="AG4">
        <v>0</v>
      </c>
      <c r="AH4">
        <v>8.6</v>
      </c>
      <c r="AI4">
        <v>1</v>
      </c>
      <c r="AJ4">
        <v>1</v>
      </c>
      <c r="AK4">
        <v>1</v>
      </c>
      <c r="AL4">
        <v>36.99</v>
      </c>
      <c r="AM4">
        <v>4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0.9</v>
      </c>
      <c r="AU4" t="s">
        <v>32</v>
      </c>
      <c r="AV4">
        <v>1</v>
      </c>
      <c r="AW4">
        <v>2</v>
      </c>
      <c r="AX4">
        <v>91264517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U4">
        <f>ROUND(AT4*Source!I27*AH4*AL4,0)</f>
        <v>69</v>
      </c>
      <c r="CV4">
        <f>ROUND(Y4*Source!I27,9)</f>
        <v>0.24840000000000001</v>
      </c>
      <c r="CW4">
        <v>0</v>
      </c>
      <c r="CX4">
        <f>ROUND(Y4*Source!I27,9)</f>
        <v>0.24840000000000001</v>
      </c>
      <c r="CY4">
        <f t="shared" si="0"/>
        <v>318.11</v>
      </c>
      <c r="CZ4">
        <f t="shared" si="1"/>
        <v>8.6</v>
      </c>
      <c r="DA4">
        <f t="shared" si="2"/>
        <v>36.99</v>
      </c>
      <c r="DB4">
        <f>ROUND((ROUND(AT4*CZ4,2)*1.15),2)</f>
        <v>8.9</v>
      </c>
      <c r="DC4">
        <f>ROUND((ROUND(AT4*AG4,2)*1.15),2)</f>
        <v>0</v>
      </c>
      <c r="DD4" t="s">
        <v>3</v>
      </c>
      <c r="DE4" t="s">
        <v>3</v>
      </c>
      <c r="DF4">
        <f t="shared" si="3"/>
        <v>0</v>
      </c>
      <c r="DG4">
        <f t="shared" si="4"/>
        <v>0</v>
      </c>
      <c r="DH4">
        <f t="shared" si="5"/>
        <v>0</v>
      </c>
      <c r="DI4">
        <f>ROUND(ROUND(AH4*AL4,0)*CX4,0)</f>
        <v>79</v>
      </c>
      <c r="DJ4">
        <f t="shared" si="6"/>
        <v>79</v>
      </c>
      <c r="DK4">
        <v>0</v>
      </c>
      <c r="DL4" t="s">
        <v>3</v>
      </c>
      <c r="DM4">
        <v>0</v>
      </c>
      <c r="DN4" t="s">
        <v>3</v>
      </c>
      <c r="DO4">
        <v>0</v>
      </c>
      <c r="GQ4">
        <v>-1</v>
      </c>
      <c r="GR4">
        <v>-1</v>
      </c>
    </row>
    <row r="5" spans="1:200" x14ac:dyDescent="0.2">
      <c r="A5">
        <f>ROW(Source!A28)</f>
        <v>28</v>
      </c>
      <c r="B5">
        <v>91261330</v>
      </c>
      <c r="C5">
        <v>91269676</v>
      </c>
      <c r="D5">
        <v>27493458</v>
      </c>
      <c r="E5">
        <v>1</v>
      </c>
      <c r="F5">
        <v>1</v>
      </c>
      <c r="G5">
        <v>1</v>
      </c>
      <c r="H5">
        <v>1</v>
      </c>
      <c r="I5" t="s">
        <v>212</v>
      </c>
      <c r="J5" t="s">
        <v>3</v>
      </c>
      <c r="K5" t="s">
        <v>213</v>
      </c>
      <c r="L5">
        <v>1369</v>
      </c>
      <c r="N5">
        <v>1013</v>
      </c>
      <c r="O5" t="s">
        <v>211</v>
      </c>
      <c r="P5" t="s">
        <v>211</v>
      </c>
      <c r="Q5">
        <v>1</v>
      </c>
      <c r="W5">
        <v>0</v>
      </c>
      <c r="X5">
        <v>-115882720</v>
      </c>
      <c r="Y5">
        <f t="shared" ref="Y5:Y20" si="7">AT5</f>
        <v>5.33</v>
      </c>
      <c r="AA5">
        <v>0</v>
      </c>
      <c r="AB5">
        <v>0</v>
      </c>
      <c r="AC5">
        <v>0</v>
      </c>
      <c r="AD5">
        <v>8.6</v>
      </c>
      <c r="AE5">
        <v>0</v>
      </c>
      <c r="AF5">
        <v>0</v>
      </c>
      <c r="AG5">
        <v>0</v>
      </c>
      <c r="AH5">
        <v>8.6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5.33</v>
      </c>
      <c r="AU5" t="s">
        <v>3</v>
      </c>
      <c r="AV5">
        <v>1</v>
      </c>
      <c r="AW5">
        <v>2</v>
      </c>
      <c r="AX5">
        <v>91269677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U5">
        <f>ROUND(AT5*Source!I28*AH5*AL5,0)</f>
        <v>1</v>
      </c>
      <c r="CV5">
        <f>ROUND(Y5*Source!I28,9)</f>
        <v>8.9543999999999999E-2</v>
      </c>
      <c r="CW5">
        <v>0</v>
      </c>
      <c r="CX5">
        <f>ROUND(Y5*Source!I28,9)</f>
        <v>8.9543999999999999E-2</v>
      </c>
      <c r="CY5">
        <f t="shared" si="0"/>
        <v>8.6</v>
      </c>
      <c r="CZ5">
        <f t="shared" si="1"/>
        <v>8.6</v>
      </c>
      <c r="DA5">
        <f t="shared" si="2"/>
        <v>1</v>
      </c>
      <c r="DB5">
        <f t="shared" ref="DB5:DB20" si="8">ROUND(ROUND(AT5*CZ5,2),2)</f>
        <v>45.84</v>
      </c>
      <c r="DC5">
        <f t="shared" ref="DC5:DC20" si="9">ROUND(ROUND(AT5*AG5,2),2)</f>
        <v>0</v>
      </c>
      <c r="DD5" t="s">
        <v>3</v>
      </c>
      <c r="DE5" t="s">
        <v>3</v>
      </c>
      <c r="DF5">
        <f t="shared" si="3"/>
        <v>0</v>
      </c>
      <c r="DG5">
        <f t="shared" si="4"/>
        <v>0</v>
      </c>
      <c r="DH5">
        <f t="shared" si="5"/>
        <v>0</v>
      </c>
      <c r="DI5">
        <f>ROUND(ROUND(AH5,0)*CX5,0)</f>
        <v>1</v>
      </c>
      <c r="DJ5">
        <f t="shared" si="6"/>
        <v>1</v>
      </c>
      <c r="DK5">
        <v>0</v>
      </c>
      <c r="DL5" t="s">
        <v>3</v>
      </c>
      <c r="DM5">
        <v>0</v>
      </c>
      <c r="DN5" t="s">
        <v>3</v>
      </c>
      <c r="DO5">
        <v>0</v>
      </c>
      <c r="GQ5">
        <v>-1</v>
      </c>
      <c r="GR5">
        <v>-1</v>
      </c>
    </row>
    <row r="6" spans="1:200" x14ac:dyDescent="0.2">
      <c r="A6">
        <f>ROW(Source!A28)</f>
        <v>28</v>
      </c>
      <c r="B6">
        <v>91261330</v>
      </c>
      <c r="C6">
        <v>91269676</v>
      </c>
      <c r="D6">
        <v>121548</v>
      </c>
      <c r="E6">
        <v>1</v>
      </c>
      <c r="F6">
        <v>1</v>
      </c>
      <c r="G6">
        <v>1</v>
      </c>
      <c r="H6">
        <v>1</v>
      </c>
      <c r="I6" t="s">
        <v>26</v>
      </c>
      <c r="J6" t="s">
        <v>3</v>
      </c>
      <c r="K6" t="s">
        <v>214</v>
      </c>
      <c r="L6">
        <v>608254</v>
      </c>
      <c r="N6">
        <v>1013</v>
      </c>
      <c r="O6" t="s">
        <v>215</v>
      </c>
      <c r="P6" t="s">
        <v>215</v>
      </c>
      <c r="Q6">
        <v>1</v>
      </c>
      <c r="W6">
        <v>0</v>
      </c>
      <c r="X6">
        <v>-185737400</v>
      </c>
      <c r="Y6">
        <f t="shared" si="7"/>
        <v>3.56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3.56</v>
      </c>
      <c r="AU6" t="s">
        <v>3</v>
      </c>
      <c r="AV6">
        <v>2</v>
      </c>
      <c r="AW6">
        <v>2</v>
      </c>
      <c r="AX6">
        <v>91269678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ROUND(Y6*Source!I28,9)</f>
        <v>5.9808E-2</v>
      </c>
      <c r="CY6">
        <f t="shared" si="0"/>
        <v>0</v>
      </c>
      <c r="CZ6">
        <f t="shared" si="1"/>
        <v>0</v>
      </c>
      <c r="DA6">
        <f t="shared" si="2"/>
        <v>1</v>
      </c>
      <c r="DB6">
        <f t="shared" si="8"/>
        <v>0</v>
      </c>
      <c r="DC6">
        <f t="shared" si="9"/>
        <v>0</v>
      </c>
      <c r="DD6" t="s">
        <v>3</v>
      </c>
      <c r="DE6" t="s">
        <v>3</v>
      </c>
      <c r="DF6">
        <f t="shared" si="3"/>
        <v>0</v>
      </c>
      <c r="DG6">
        <f t="shared" si="4"/>
        <v>0</v>
      </c>
      <c r="DH6">
        <f t="shared" si="5"/>
        <v>0</v>
      </c>
      <c r="DI6">
        <f>ROUND(ROUND(AH6,0)*CX6,0)</f>
        <v>0</v>
      </c>
      <c r="DJ6">
        <f t="shared" si="6"/>
        <v>0</v>
      </c>
      <c r="DK6">
        <v>0</v>
      </c>
      <c r="DL6" t="s">
        <v>3</v>
      </c>
      <c r="DM6">
        <v>0</v>
      </c>
      <c r="DN6" t="s">
        <v>3</v>
      </c>
      <c r="DO6">
        <v>0</v>
      </c>
      <c r="GQ6">
        <v>-1</v>
      </c>
      <c r="GR6">
        <v>-1</v>
      </c>
    </row>
    <row r="7" spans="1:200" x14ac:dyDescent="0.2">
      <c r="A7">
        <f>ROW(Source!A28)</f>
        <v>28</v>
      </c>
      <c r="B7">
        <v>91261330</v>
      </c>
      <c r="C7">
        <v>91269676</v>
      </c>
      <c r="D7">
        <v>27440032</v>
      </c>
      <c r="E7">
        <v>1</v>
      </c>
      <c r="F7">
        <v>1</v>
      </c>
      <c r="G7">
        <v>1</v>
      </c>
      <c r="H7">
        <v>2</v>
      </c>
      <c r="I7" t="s">
        <v>216</v>
      </c>
      <c r="J7" t="s">
        <v>217</v>
      </c>
      <c r="K7" t="s">
        <v>218</v>
      </c>
      <c r="L7">
        <v>1368</v>
      </c>
      <c r="N7">
        <v>1011</v>
      </c>
      <c r="O7" t="s">
        <v>219</v>
      </c>
      <c r="P7" t="s">
        <v>219</v>
      </c>
      <c r="Q7">
        <v>1</v>
      </c>
      <c r="W7">
        <v>0</v>
      </c>
      <c r="X7">
        <v>864476657</v>
      </c>
      <c r="Y7">
        <f t="shared" si="7"/>
        <v>3.56</v>
      </c>
      <c r="AA7">
        <v>0</v>
      </c>
      <c r="AB7">
        <v>12.43</v>
      </c>
      <c r="AC7">
        <v>10.14</v>
      </c>
      <c r="AD7">
        <v>0</v>
      </c>
      <c r="AE7">
        <v>0</v>
      </c>
      <c r="AF7">
        <v>12.43</v>
      </c>
      <c r="AG7">
        <v>10.14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3.56</v>
      </c>
      <c r="AU7" t="s">
        <v>3</v>
      </c>
      <c r="AV7">
        <v>0</v>
      </c>
      <c r="AW7">
        <v>2</v>
      </c>
      <c r="AX7">
        <v>91269679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f>ROUND(Y7*Source!I28*DO7,9)</f>
        <v>0</v>
      </c>
      <c r="CX7">
        <f>ROUND(Y7*Source!I28,9)</f>
        <v>5.9808E-2</v>
      </c>
      <c r="CY7">
        <f>AB7</f>
        <v>12.43</v>
      </c>
      <c r="CZ7">
        <f>AF7</f>
        <v>12.43</v>
      </c>
      <c r="DA7">
        <f>AJ7</f>
        <v>1</v>
      </c>
      <c r="DB7">
        <f t="shared" si="8"/>
        <v>44.25</v>
      </c>
      <c r="DC7">
        <f t="shared" si="9"/>
        <v>36.1</v>
      </c>
      <c r="DD7" t="s">
        <v>3</v>
      </c>
      <c r="DE7" t="s">
        <v>3</v>
      </c>
      <c r="DF7">
        <f t="shared" si="3"/>
        <v>0</v>
      </c>
      <c r="DG7">
        <f t="shared" si="4"/>
        <v>1</v>
      </c>
      <c r="DH7">
        <f t="shared" si="5"/>
        <v>1</v>
      </c>
      <c r="DI7">
        <f>ROUND(ROUND(AH7,0)*CX7,0)</f>
        <v>0</v>
      </c>
      <c r="DJ7">
        <f>DG7</f>
        <v>1</v>
      </c>
      <c r="DK7">
        <v>0</v>
      </c>
      <c r="DL7" t="s">
        <v>3</v>
      </c>
      <c r="DM7">
        <v>0</v>
      </c>
      <c r="DN7" t="s">
        <v>3</v>
      </c>
      <c r="DO7">
        <v>0</v>
      </c>
      <c r="GQ7">
        <v>-1</v>
      </c>
      <c r="GR7">
        <v>-1</v>
      </c>
    </row>
    <row r="8" spans="1:200" x14ac:dyDescent="0.2">
      <c r="A8">
        <f>ROW(Source!A29)</f>
        <v>29</v>
      </c>
      <c r="B8">
        <v>91261331</v>
      </c>
      <c r="C8">
        <v>91269676</v>
      </c>
      <c r="D8">
        <v>27493458</v>
      </c>
      <c r="E8">
        <v>1</v>
      </c>
      <c r="F8">
        <v>1</v>
      </c>
      <c r="G8">
        <v>1</v>
      </c>
      <c r="H8">
        <v>1</v>
      </c>
      <c r="I8" t="s">
        <v>212</v>
      </c>
      <c r="J8" t="s">
        <v>3</v>
      </c>
      <c r="K8" t="s">
        <v>213</v>
      </c>
      <c r="L8">
        <v>1369</v>
      </c>
      <c r="N8">
        <v>1013</v>
      </c>
      <c r="O8" t="s">
        <v>211</v>
      </c>
      <c r="P8" t="s">
        <v>211</v>
      </c>
      <c r="Q8">
        <v>1</v>
      </c>
      <c r="W8">
        <v>0</v>
      </c>
      <c r="X8">
        <v>-115882720</v>
      </c>
      <c r="Y8">
        <f t="shared" si="7"/>
        <v>5.33</v>
      </c>
      <c r="AA8">
        <v>0</v>
      </c>
      <c r="AB8">
        <v>0</v>
      </c>
      <c r="AC8">
        <v>0</v>
      </c>
      <c r="AD8">
        <v>318.11</v>
      </c>
      <c r="AE8">
        <v>0</v>
      </c>
      <c r="AF8">
        <v>0</v>
      </c>
      <c r="AG8">
        <v>0</v>
      </c>
      <c r="AH8">
        <v>8.6</v>
      </c>
      <c r="AI8">
        <v>1</v>
      </c>
      <c r="AJ8">
        <v>1</v>
      </c>
      <c r="AK8">
        <v>1</v>
      </c>
      <c r="AL8">
        <v>36.99</v>
      </c>
      <c r="AM8">
        <v>4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5.33</v>
      </c>
      <c r="AU8" t="s">
        <v>3</v>
      </c>
      <c r="AV8">
        <v>1</v>
      </c>
      <c r="AW8">
        <v>2</v>
      </c>
      <c r="AX8">
        <v>91269677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U8">
        <f>ROUND(AT8*Source!I29*AH8*AL8,0)</f>
        <v>28</v>
      </c>
      <c r="CV8">
        <f>ROUND(Y8*Source!I29,9)</f>
        <v>8.9543999999999999E-2</v>
      </c>
      <c r="CW8">
        <v>0</v>
      </c>
      <c r="CX8">
        <f>ROUND(Y8*Source!I29,9)</f>
        <v>8.9543999999999999E-2</v>
      </c>
      <c r="CY8">
        <f>AD8</f>
        <v>318.11</v>
      </c>
      <c r="CZ8">
        <f>AH8</f>
        <v>8.6</v>
      </c>
      <c r="DA8">
        <f>AL8</f>
        <v>36.99</v>
      </c>
      <c r="DB8">
        <f t="shared" si="8"/>
        <v>45.84</v>
      </c>
      <c r="DC8">
        <f t="shared" si="9"/>
        <v>0</v>
      </c>
      <c r="DD8" t="s">
        <v>3</v>
      </c>
      <c r="DE8" t="s">
        <v>3</v>
      </c>
      <c r="DF8">
        <f t="shared" si="3"/>
        <v>0</v>
      </c>
      <c r="DG8">
        <f t="shared" si="4"/>
        <v>0</v>
      </c>
      <c r="DH8">
        <f t="shared" si="5"/>
        <v>0</v>
      </c>
      <c r="DI8">
        <f>ROUND(ROUND(AH8*AL8,0)*CX8,0)</f>
        <v>28</v>
      </c>
      <c r="DJ8">
        <f>DI8</f>
        <v>28</v>
      </c>
      <c r="DK8">
        <v>0</v>
      </c>
      <c r="DL8" t="s">
        <v>3</v>
      </c>
      <c r="DM8">
        <v>0</v>
      </c>
      <c r="DN8" t="s">
        <v>3</v>
      </c>
      <c r="DO8">
        <v>0</v>
      </c>
      <c r="GQ8">
        <v>-1</v>
      </c>
      <c r="GR8">
        <v>-1</v>
      </c>
    </row>
    <row r="9" spans="1:200" x14ac:dyDescent="0.2">
      <c r="A9">
        <f>ROW(Source!A29)</f>
        <v>29</v>
      </c>
      <c r="B9">
        <v>91261331</v>
      </c>
      <c r="C9">
        <v>91269676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26</v>
      </c>
      <c r="J9" t="s">
        <v>3</v>
      </c>
      <c r="K9" t="s">
        <v>214</v>
      </c>
      <c r="L9">
        <v>608254</v>
      </c>
      <c r="N9">
        <v>1013</v>
      </c>
      <c r="O9" t="s">
        <v>215</v>
      </c>
      <c r="P9" t="s">
        <v>215</v>
      </c>
      <c r="Q9">
        <v>1</v>
      </c>
      <c r="W9">
        <v>0</v>
      </c>
      <c r="X9">
        <v>-185737400</v>
      </c>
      <c r="Y9">
        <f t="shared" si="7"/>
        <v>3.56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36.99</v>
      </c>
      <c r="AL9">
        <v>1</v>
      </c>
      <c r="AM9">
        <v>4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3.56</v>
      </c>
      <c r="AU9" t="s">
        <v>3</v>
      </c>
      <c r="AV9">
        <v>2</v>
      </c>
      <c r="AW9">
        <v>2</v>
      </c>
      <c r="AX9">
        <v>91269678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v>0</v>
      </c>
      <c r="CX9">
        <f>ROUND(Y9*Source!I29,9)</f>
        <v>5.9808E-2</v>
      </c>
      <c r="CY9">
        <f>AD9</f>
        <v>0</v>
      </c>
      <c r="CZ9">
        <f>AH9</f>
        <v>0</v>
      </c>
      <c r="DA9">
        <f>AL9</f>
        <v>1</v>
      </c>
      <c r="DB9">
        <f t="shared" si="8"/>
        <v>0</v>
      </c>
      <c r="DC9">
        <f t="shared" si="9"/>
        <v>0</v>
      </c>
      <c r="DD9" t="s">
        <v>3</v>
      </c>
      <c r="DE9" t="s">
        <v>3</v>
      </c>
      <c r="DF9">
        <f t="shared" si="3"/>
        <v>0</v>
      </c>
      <c r="DG9">
        <f t="shared" si="4"/>
        <v>0</v>
      </c>
      <c r="DH9">
        <f>ROUND(ROUND(AG9*AK9,0)*CX9,0)</f>
        <v>0</v>
      </c>
      <c r="DI9">
        <f t="shared" ref="DI9:DI15" si="10">ROUND(ROUND(AH9,0)*CX9,0)</f>
        <v>0</v>
      </c>
      <c r="DJ9">
        <f>DI9</f>
        <v>0</v>
      </c>
      <c r="DK9">
        <v>0</v>
      </c>
      <c r="DL9" t="s">
        <v>3</v>
      </c>
      <c r="DM9">
        <v>0</v>
      </c>
      <c r="DN9" t="s">
        <v>3</v>
      </c>
      <c r="DO9">
        <v>0</v>
      </c>
      <c r="GQ9">
        <v>-1</v>
      </c>
      <c r="GR9">
        <v>-1</v>
      </c>
    </row>
    <row r="10" spans="1:200" x14ac:dyDescent="0.2">
      <c r="A10">
        <f>ROW(Source!A29)</f>
        <v>29</v>
      </c>
      <c r="B10">
        <v>91261331</v>
      </c>
      <c r="C10">
        <v>91269676</v>
      </c>
      <c r="D10">
        <v>27440032</v>
      </c>
      <c r="E10">
        <v>1</v>
      </c>
      <c r="F10">
        <v>1</v>
      </c>
      <c r="G10">
        <v>1</v>
      </c>
      <c r="H10">
        <v>2</v>
      </c>
      <c r="I10" t="s">
        <v>216</v>
      </c>
      <c r="J10" t="s">
        <v>217</v>
      </c>
      <c r="K10" t="s">
        <v>218</v>
      </c>
      <c r="L10">
        <v>1368</v>
      </c>
      <c r="N10">
        <v>1011</v>
      </c>
      <c r="O10" t="s">
        <v>219</v>
      </c>
      <c r="P10" t="s">
        <v>219</v>
      </c>
      <c r="Q10">
        <v>1</v>
      </c>
      <c r="W10">
        <v>0</v>
      </c>
      <c r="X10">
        <v>864476657</v>
      </c>
      <c r="Y10">
        <f t="shared" si="7"/>
        <v>3.56</v>
      </c>
      <c r="AA10">
        <v>0</v>
      </c>
      <c r="AB10">
        <v>167.93</v>
      </c>
      <c r="AC10">
        <v>375.08</v>
      </c>
      <c r="AD10">
        <v>0</v>
      </c>
      <c r="AE10">
        <v>0</v>
      </c>
      <c r="AF10">
        <v>12.43</v>
      </c>
      <c r="AG10">
        <v>10.14</v>
      </c>
      <c r="AH10">
        <v>0</v>
      </c>
      <c r="AI10">
        <v>1</v>
      </c>
      <c r="AJ10">
        <v>13.51</v>
      </c>
      <c r="AK10">
        <v>36.99</v>
      </c>
      <c r="AL10">
        <v>1</v>
      </c>
      <c r="AM10">
        <v>4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3.56</v>
      </c>
      <c r="AU10" t="s">
        <v>3</v>
      </c>
      <c r="AV10">
        <v>0</v>
      </c>
      <c r="AW10">
        <v>2</v>
      </c>
      <c r="AX10">
        <v>91269679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f>ROUND(Y10*Source!I29*DO10,9)</f>
        <v>0</v>
      </c>
      <c r="CX10">
        <f>ROUND(Y10*Source!I29,9)</f>
        <v>5.9808E-2</v>
      </c>
      <c r="CY10">
        <f>AB10</f>
        <v>167.93</v>
      </c>
      <c r="CZ10">
        <f>AF10</f>
        <v>12.43</v>
      </c>
      <c r="DA10">
        <f>AJ10</f>
        <v>13.51</v>
      </c>
      <c r="DB10">
        <f t="shared" si="8"/>
        <v>44.25</v>
      </c>
      <c r="DC10">
        <f t="shared" si="9"/>
        <v>36.1</v>
      </c>
      <c r="DD10" t="s">
        <v>3</v>
      </c>
      <c r="DE10" t="s">
        <v>3</v>
      </c>
      <c r="DF10">
        <f t="shared" si="3"/>
        <v>0</v>
      </c>
      <c r="DG10">
        <f>ROUND(ROUND(AF10*AJ10,0)*CX10,0)</f>
        <v>10</v>
      </c>
      <c r="DH10">
        <f>ROUND(ROUND(AG10*AK10,0)*CX10,0)</f>
        <v>22</v>
      </c>
      <c r="DI10">
        <f t="shared" si="10"/>
        <v>0</v>
      </c>
      <c r="DJ10">
        <f>DG10</f>
        <v>10</v>
      </c>
      <c r="DK10">
        <v>0</v>
      </c>
      <c r="DL10" t="s">
        <v>3</v>
      </c>
      <c r="DM10">
        <v>0</v>
      </c>
      <c r="DN10" t="s">
        <v>3</v>
      </c>
      <c r="DO10">
        <v>0</v>
      </c>
      <c r="GQ10">
        <v>-1</v>
      </c>
      <c r="GR10">
        <v>-1</v>
      </c>
    </row>
    <row r="11" spans="1:200" x14ac:dyDescent="0.2">
      <c r="A11">
        <f>ROW(Source!A30)</f>
        <v>30</v>
      </c>
      <c r="B11">
        <v>91261330</v>
      </c>
      <c r="C11">
        <v>91268961</v>
      </c>
      <c r="D11">
        <v>27498288</v>
      </c>
      <c r="E11">
        <v>1</v>
      </c>
      <c r="F11">
        <v>1</v>
      </c>
      <c r="G11">
        <v>1</v>
      </c>
      <c r="H11">
        <v>1</v>
      </c>
      <c r="I11" t="s">
        <v>220</v>
      </c>
      <c r="J11" t="s">
        <v>3</v>
      </c>
      <c r="K11" t="s">
        <v>221</v>
      </c>
      <c r="L11">
        <v>1369</v>
      </c>
      <c r="N11">
        <v>1013</v>
      </c>
      <c r="O11" t="s">
        <v>211</v>
      </c>
      <c r="P11" t="s">
        <v>211</v>
      </c>
      <c r="Q11">
        <v>1</v>
      </c>
      <c r="W11">
        <v>0</v>
      </c>
      <c r="X11">
        <v>1223303326</v>
      </c>
      <c r="Y11">
        <f t="shared" si="7"/>
        <v>47.87</v>
      </c>
      <c r="AA11">
        <v>0</v>
      </c>
      <c r="AB11">
        <v>0</v>
      </c>
      <c r="AC11">
        <v>0</v>
      </c>
      <c r="AD11">
        <v>9.0399999999999991</v>
      </c>
      <c r="AE11">
        <v>0</v>
      </c>
      <c r="AF11">
        <v>0</v>
      </c>
      <c r="AG11">
        <v>0</v>
      </c>
      <c r="AH11">
        <v>9.0399999999999991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47.87</v>
      </c>
      <c r="AU11" t="s">
        <v>3</v>
      </c>
      <c r="AV11">
        <v>1</v>
      </c>
      <c r="AW11">
        <v>2</v>
      </c>
      <c r="AX11">
        <v>91268962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U11">
        <f>ROUND(AT11*Source!I30*AH11*AL11,0)</f>
        <v>36</v>
      </c>
      <c r="CV11">
        <f>ROUND(Y11*Source!I30,9)</f>
        <v>4.0210800000000004</v>
      </c>
      <c r="CW11">
        <v>0</v>
      </c>
      <c r="CX11">
        <f>ROUND(Y11*Source!I30,9)</f>
        <v>4.0210800000000004</v>
      </c>
      <c r="CY11">
        <f>AD11</f>
        <v>9.0399999999999991</v>
      </c>
      <c r="CZ11">
        <f>AH11</f>
        <v>9.0399999999999991</v>
      </c>
      <c r="DA11">
        <f>AL11</f>
        <v>1</v>
      </c>
      <c r="DB11">
        <f t="shared" si="8"/>
        <v>432.74</v>
      </c>
      <c r="DC11">
        <f t="shared" si="9"/>
        <v>0</v>
      </c>
      <c r="DD11" t="s">
        <v>3</v>
      </c>
      <c r="DE11" t="s">
        <v>3</v>
      </c>
      <c r="DF11">
        <f t="shared" si="3"/>
        <v>0</v>
      </c>
      <c r="DG11">
        <f t="shared" ref="DG11:DG16" si="11">ROUND(ROUND(AF11,0)*CX11,0)</f>
        <v>0</v>
      </c>
      <c r="DH11">
        <f t="shared" ref="DH11:DH16" si="12">ROUND(ROUND(AG11,0)*CX11,0)</f>
        <v>0</v>
      </c>
      <c r="DI11">
        <f t="shared" si="10"/>
        <v>36</v>
      </c>
      <c r="DJ11">
        <f>DI11</f>
        <v>36</v>
      </c>
      <c r="DK11">
        <v>0</v>
      </c>
      <c r="DL11" t="s">
        <v>3</v>
      </c>
      <c r="DM11">
        <v>0</v>
      </c>
      <c r="DN11" t="s">
        <v>3</v>
      </c>
      <c r="DO11">
        <v>0</v>
      </c>
      <c r="GQ11">
        <v>-1</v>
      </c>
      <c r="GR11">
        <v>-1</v>
      </c>
    </row>
    <row r="12" spans="1:200" x14ac:dyDescent="0.2">
      <c r="A12">
        <f>ROW(Source!A30)</f>
        <v>30</v>
      </c>
      <c r="B12">
        <v>91261330</v>
      </c>
      <c r="C12">
        <v>91268961</v>
      </c>
      <c r="D12">
        <v>27441327</v>
      </c>
      <c r="E12">
        <v>1</v>
      </c>
      <c r="F12">
        <v>1</v>
      </c>
      <c r="G12">
        <v>1</v>
      </c>
      <c r="H12">
        <v>2</v>
      </c>
      <c r="I12" t="s">
        <v>222</v>
      </c>
      <c r="J12" t="s">
        <v>223</v>
      </c>
      <c r="K12" t="s">
        <v>224</v>
      </c>
      <c r="L12">
        <v>1368</v>
      </c>
      <c r="N12">
        <v>1011</v>
      </c>
      <c r="O12" t="s">
        <v>219</v>
      </c>
      <c r="P12" t="s">
        <v>219</v>
      </c>
      <c r="Q12">
        <v>1</v>
      </c>
      <c r="W12">
        <v>0</v>
      </c>
      <c r="X12">
        <v>-1583389094</v>
      </c>
      <c r="Y12">
        <f t="shared" si="7"/>
        <v>1.52</v>
      </c>
      <c r="AA12">
        <v>0</v>
      </c>
      <c r="AB12">
        <v>93.37</v>
      </c>
      <c r="AC12">
        <v>11.69</v>
      </c>
      <c r="AD12">
        <v>0</v>
      </c>
      <c r="AE12">
        <v>0</v>
      </c>
      <c r="AF12">
        <v>93.37</v>
      </c>
      <c r="AG12">
        <v>11.69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1.52</v>
      </c>
      <c r="AU12" t="s">
        <v>3</v>
      </c>
      <c r="AV12">
        <v>0</v>
      </c>
      <c r="AW12">
        <v>2</v>
      </c>
      <c r="AX12">
        <v>91268963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f>ROUND(Y12*Source!I30*DO12,9)</f>
        <v>0</v>
      </c>
      <c r="CX12">
        <f>ROUND(Y12*Source!I30,9)</f>
        <v>0.12767999999999999</v>
      </c>
      <c r="CY12">
        <f>AB12</f>
        <v>93.37</v>
      </c>
      <c r="CZ12">
        <f>AF12</f>
        <v>93.37</v>
      </c>
      <c r="DA12">
        <f>AJ12</f>
        <v>1</v>
      </c>
      <c r="DB12">
        <f t="shared" si="8"/>
        <v>141.91999999999999</v>
      </c>
      <c r="DC12">
        <f t="shared" si="9"/>
        <v>17.77</v>
      </c>
      <c r="DD12" t="s">
        <v>3</v>
      </c>
      <c r="DE12" t="s">
        <v>3</v>
      </c>
      <c r="DF12">
        <f t="shared" si="3"/>
        <v>0</v>
      </c>
      <c r="DG12">
        <f t="shared" si="11"/>
        <v>12</v>
      </c>
      <c r="DH12">
        <f t="shared" si="12"/>
        <v>2</v>
      </c>
      <c r="DI12">
        <f t="shared" si="10"/>
        <v>0</v>
      </c>
      <c r="DJ12">
        <f>DG12</f>
        <v>12</v>
      </c>
      <c r="DK12">
        <v>0</v>
      </c>
      <c r="DL12" t="s">
        <v>3</v>
      </c>
      <c r="DM12">
        <v>0</v>
      </c>
      <c r="DN12" t="s">
        <v>3</v>
      </c>
      <c r="DO12">
        <v>0</v>
      </c>
      <c r="GQ12">
        <v>-1</v>
      </c>
      <c r="GR12">
        <v>-1</v>
      </c>
    </row>
    <row r="13" spans="1:200" x14ac:dyDescent="0.2">
      <c r="A13">
        <f>ROW(Source!A30)</f>
        <v>30</v>
      </c>
      <c r="B13">
        <v>91261330</v>
      </c>
      <c r="C13">
        <v>91268961</v>
      </c>
      <c r="D13">
        <v>27387103</v>
      </c>
      <c r="E13">
        <v>1</v>
      </c>
      <c r="F13">
        <v>1</v>
      </c>
      <c r="G13">
        <v>1</v>
      </c>
      <c r="H13">
        <v>3</v>
      </c>
      <c r="I13" t="s">
        <v>61</v>
      </c>
      <c r="J13" t="s">
        <v>64</v>
      </c>
      <c r="K13" t="s">
        <v>62</v>
      </c>
      <c r="L13">
        <v>1346</v>
      </c>
      <c r="N13">
        <v>1009</v>
      </c>
      <c r="O13" t="s">
        <v>63</v>
      </c>
      <c r="P13" t="s">
        <v>63</v>
      </c>
      <c r="Q13">
        <v>1</v>
      </c>
      <c r="W13">
        <v>0</v>
      </c>
      <c r="X13">
        <v>891480366</v>
      </c>
      <c r="Y13">
        <f t="shared" si="7"/>
        <v>119.047619</v>
      </c>
      <c r="AA13">
        <v>46.86</v>
      </c>
      <c r="AB13">
        <v>0</v>
      </c>
      <c r="AC13">
        <v>0</v>
      </c>
      <c r="AD13">
        <v>0</v>
      </c>
      <c r="AE13">
        <v>46.86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1</v>
      </c>
      <c r="AO13">
        <v>0</v>
      </c>
      <c r="AP13">
        <v>0</v>
      </c>
      <c r="AQ13">
        <v>0</v>
      </c>
      <c r="AR13">
        <v>0</v>
      </c>
      <c r="AS13" t="s">
        <v>3</v>
      </c>
      <c r="AT13">
        <v>119.047619</v>
      </c>
      <c r="AU13" t="s">
        <v>3</v>
      </c>
      <c r="AV13">
        <v>0</v>
      </c>
      <c r="AW13">
        <v>2</v>
      </c>
      <c r="AX13">
        <v>91268964</v>
      </c>
      <c r="AY13">
        <v>1</v>
      </c>
      <c r="AZ13">
        <v>6144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ROUND(Y13*Source!I30,9)</f>
        <v>9.9999999959999997</v>
      </c>
      <c r="CY13">
        <f>AA13</f>
        <v>46.86</v>
      </c>
      <c r="CZ13">
        <f>AE13</f>
        <v>46.86</v>
      </c>
      <c r="DA13">
        <f>AI13</f>
        <v>1</v>
      </c>
      <c r="DB13">
        <f t="shared" si="8"/>
        <v>5578.57</v>
      </c>
      <c r="DC13">
        <f t="shared" si="9"/>
        <v>0</v>
      </c>
      <c r="DD13" t="s">
        <v>3</v>
      </c>
      <c r="DE13" t="s">
        <v>3</v>
      </c>
      <c r="DF13">
        <f t="shared" si="3"/>
        <v>470</v>
      </c>
      <c r="DG13">
        <f t="shared" si="11"/>
        <v>0</v>
      </c>
      <c r="DH13">
        <f t="shared" si="12"/>
        <v>0</v>
      </c>
      <c r="DI13">
        <f t="shared" si="10"/>
        <v>0</v>
      </c>
      <c r="DJ13">
        <f>DF13</f>
        <v>470</v>
      </c>
      <c r="DK13">
        <v>0</v>
      </c>
      <c r="DL13" t="s">
        <v>3</v>
      </c>
      <c r="DM13">
        <v>0</v>
      </c>
      <c r="DN13" t="s">
        <v>3</v>
      </c>
      <c r="DO13">
        <v>0</v>
      </c>
      <c r="GP13">
        <v>1</v>
      </c>
      <c r="GQ13">
        <v>-1</v>
      </c>
      <c r="GR13">
        <v>-1</v>
      </c>
    </row>
    <row r="14" spans="1:200" x14ac:dyDescent="0.2">
      <c r="A14">
        <f>ROW(Source!A30)</f>
        <v>30</v>
      </c>
      <c r="B14">
        <v>91261330</v>
      </c>
      <c r="C14">
        <v>91268961</v>
      </c>
      <c r="D14">
        <v>27407668</v>
      </c>
      <c r="E14">
        <v>1</v>
      </c>
      <c r="F14">
        <v>1</v>
      </c>
      <c r="G14">
        <v>1</v>
      </c>
      <c r="H14">
        <v>3</v>
      </c>
      <c r="I14" t="s">
        <v>70</v>
      </c>
      <c r="J14" t="s">
        <v>72</v>
      </c>
      <c r="K14" t="s">
        <v>71</v>
      </c>
      <c r="L14">
        <v>1346</v>
      </c>
      <c r="N14">
        <v>1009</v>
      </c>
      <c r="O14" t="s">
        <v>63</v>
      </c>
      <c r="P14" t="s">
        <v>63</v>
      </c>
      <c r="Q14">
        <v>1</v>
      </c>
      <c r="W14">
        <v>0</v>
      </c>
      <c r="X14">
        <v>-972204698</v>
      </c>
      <c r="Y14">
        <f t="shared" si="7"/>
        <v>320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0</v>
      </c>
      <c r="AN14">
        <v>1</v>
      </c>
      <c r="AO14">
        <v>0</v>
      </c>
      <c r="AP14">
        <v>0</v>
      </c>
      <c r="AQ14">
        <v>0</v>
      </c>
      <c r="AR14">
        <v>0</v>
      </c>
      <c r="AS14" t="s">
        <v>3</v>
      </c>
      <c r="AT14">
        <v>320</v>
      </c>
      <c r="AU14" t="s">
        <v>3</v>
      </c>
      <c r="AV14">
        <v>0</v>
      </c>
      <c r="AW14">
        <v>2</v>
      </c>
      <c r="AX14">
        <v>91268965</v>
      </c>
      <c r="AY14">
        <v>1</v>
      </c>
      <c r="AZ14">
        <v>6144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ROUND(Y14*Source!I30,9)</f>
        <v>26.88</v>
      </c>
      <c r="CY14">
        <f>AA14</f>
        <v>0</v>
      </c>
      <c r="CZ14">
        <f>AE14</f>
        <v>0</v>
      </c>
      <c r="DA14">
        <f>AI14</f>
        <v>1</v>
      </c>
      <c r="DB14">
        <f t="shared" si="8"/>
        <v>0</v>
      </c>
      <c r="DC14">
        <f t="shared" si="9"/>
        <v>0</v>
      </c>
      <c r="DD14" t="s">
        <v>3</v>
      </c>
      <c r="DE14" t="s">
        <v>3</v>
      </c>
      <c r="DF14">
        <f t="shared" si="3"/>
        <v>0</v>
      </c>
      <c r="DG14">
        <f t="shared" si="11"/>
        <v>0</v>
      </c>
      <c r="DH14">
        <f t="shared" si="12"/>
        <v>0</v>
      </c>
      <c r="DI14">
        <f t="shared" si="10"/>
        <v>0</v>
      </c>
      <c r="DJ14">
        <f>DF14</f>
        <v>0</v>
      </c>
      <c r="DK14">
        <v>0</v>
      </c>
      <c r="DL14" t="s">
        <v>3</v>
      </c>
      <c r="DM14">
        <v>0</v>
      </c>
      <c r="DN14" t="s">
        <v>3</v>
      </c>
      <c r="DO14">
        <v>0</v>
      </c>
      <c r="GP14">
        <v>1</v>
      </c>
      <c r="GQ14">
        <v>-1</v>
      </c>
      <c r="GR14">
        <v>-1</v>
      </c>
    </row>
    <row r="15" spans="1:200" x14ac:dyDescent="0.2">
      <c r="A15">
        <f>ROW(Source!A30)</f>
        <v>30</v>
      </c>
      <c r="B15">
        <v>91261330</v>
      </c>
      <c r="C15">
        <v>91268961</v>
      </c>
      <c r="D15">
        <v>27416566</v>
      </c>
      <c r="E15">
        <v>1</v>
      </c>
      <c r="F15">
        <v>1</v>
      </c>
      <c r="G15">
        <v>1</v>
      </c>
      <c r="H15">
        <v>3</v>
      </c>
      <c r="I15" t="s">
        <v>75</v>
      </c>
      <c r="J15" t="s">
        <v>78</v>
      </c>
      <c r="K15" t="s">
        <v>76</v>
      </c>
      <c r="L15">
        <v>1339</v>
      </c>
      <c r="N15">
        <v>1007</v>
      </c>
      <c r="O15" t="s">
        <v>77</v>
      </c>
      <c r="P15" t="s">
        <v>77</v>
      </c>
      <c r="Q15">
        <v>1</v>
      </c>
      <c r="W15">
        <v>0</v>
      </c>
      <c r="X15">
        <v>-50505369</v>
      </c>
      <c r="Y15">
        <f t="shared" si="7"/>
        <v>3.3333000000000002E-2</v>
      </c>
      <c r="AA15">
        <v>7.14</v>
      </c>
      <c r="AB15">
        <v>0</v>
      </c>
      <c r="AC15">
        <v>0</v>
      </c>
      <c r="AD15">
        <v>0</v>
      </c>
      <c r="AE15">
        <v>7.14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0</v>
      </c>
      <c r="AN15">
        <v>1</v>
      </c>
      <c r="AO15">
        <v>0</v>
      </c>
      <c r="AP15">
        <v>0</v>
      </c>
      <c r="AQ15">
        <v>0</v>
      </c>
      <c r="AR15">
        <v>0</v>
      </c>
      <c r="AS15" t="s">
        <v>3</v>
      </c>
      <c r="AT15">
        <v>3.3333000000000002E-2</v>
      </c>
      <c r="AU15" t="s">
        <v>3</v>
      </c>
      <c r="AV15">
        <v>0</v>
      </c>
      <c r="AW15">
        <v>2</v>
      </c>
      <c r="AX15">
        <v>91268966</v>
      </c>
      <c r="AY15">
        <v>1</v>
      </c>
      <c r="AZ15">
        <v>6144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ROUND(Y15*Source!I30,9)</f>
        <v>2.799972E-3</v>
      </c>
      <c r="CY15">
        <f>AA15</f>
        <v>7.14</v>
      </c>
      <c r="CZ15">
        <f>AE15</f>
        <v>7.14</v>
      </c>
      <c r="DA15">
        <f>AI15</f>
        <v>1</v>
      </c>
      <c r="DB15">
        <f t="shared" si="8"/>
        <v>0.24</v>
      </c>
      <c r="DC15">
        <f t="shared" si="9"/>
        <v>0</v>
      </c>
      <c r="DD15" t="s">
        <v>3</v>
      </c>
      <c r="DE15" t="s">
        <v>3</v>
      </c>
      <c r="DF15">
        <f t="shared" si="3"/>
        <v>0</v>
      </c>
      <c r="DG15">
        <f t="shared" si="11"/>
        <v>0</v>
      </c>
      <c r="DH15">
        <f t="shared" si="12"/>
        <v>0</v>
      </c>
      <c r="DI15">
        <f t="shared" si="10"/>
        <v>0</v>
      </c>
      <c r="DJ15">
        <f>DF15</f>
        <v>0</v>
      </c>
      <c r="DK15">
        <v>0</v>
      </c>
      <c r="DL15" t="s">
        <v>3</v>
      </c>
      <c r="DM15">
        <v>0</v>
      </c>
      <c r="DN15" t="s">
        <v>3</v>
      </c>
      <c r="DO15">
        <v>0</v>
      </c>
      <c r="GP15">
        <v>1</v>
      </c>
      <c r="GQ15">
        <v>-1</v>
      </c>
      <c r="GR15">
        <v>-1</v>
      </c>
    </row>
    <row r="16" spans="1:200" x14ac:dyDescent="0.2">
      <c r="A16">
        <f>ROW(Source!A31)</f>
        <v>31</v>
      </c>
      <c r="B16">
        <v>91261331</v>
      </c>
      <c r="C16">
        <v>91268961</v>
      </c>
      <c r="D16">
        <v>27498288</v>
      </c>
      <c r="E16">
        <v>1</v>
      </c>
      <c r="F16">
        <v>1</v>
      </c>
      <c r="G16">
        <v>1</v>
      </c>
      <c r="H16">
        <v>1</v>
      </c>
      <c r="I16" t="s">
        <v>220</v>
      </c>
      <c r="J16" t="s">
        <v>3</v>
      </c>
      <c r="K16" t="s">
        <v>221</v>
      </c>
      <c r="L16">
        <v>1369</v>
      </c>
      <c r="N16">
        <v>1013</v>
      </c>
      <c r="O16" t="s">
        <v>211</v>
      </c>
      <c r="P16" t="s">
        <v>211</v>
      </c>
      <c r="Q16">
        <v>1</v>
      </c>
      <c r="W16">
        <v>0</v>
      </c>
      <c r="X16">
        <v>1223303326</v>
      </c>
      <c r="Y16">
        <f t="shared" si="7"/>
        <v>47.87</v>
      </c>
      <c r="AA16">
        <v>0</v>
      </c>
      <c r="AB16">
        <v>0</v>
      </c>
      <c r="AC16">
        <v>0</v>
      </c>
      <c r="AD16">
        <v>334.39</v>
      </c>
      <c r="AE16">
        <v>0</v>
      </c>
      <c r="AF16">
        <v>0</v>
      </c>
      <c r="AG16">
        <v>0</v>
      </c>
      <c r="AH16">
        <v>9.0399999999999991</v>
      </c>
      <c r="AI16">
        <v>1</v>
      </c>
      <c r="AJ16">
        <v>1</v>
      </c>
      <c r="AK16">
        <v>1</v>
      </c>
      <c r="AL16">
        <v>36.99</v>
      </c>
      <c r="AM16">
        <v>4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47.87</v>
      </c>
      <c r="AU16" t="s">
        <v>3</v>
      </c>
      <c r="AV16">
        <v>1</v>
      </c>
      <c r="AW16">
        <v>2</v>
      </c>
      <c r="AX16">
        <v>91268962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U16">
        <f>ROUND(AT16*Source!I31*AH16*AL16,0)</f>
        <v>1345</v>
      </c>
      <c r="CV16">
        <f>ROUND(Y16*Source!I31,9)</f>
        <v>4.0210800000000004</v>
      </c>
      <c r="CW16">
        <v>0</v>
      </c>
      <c r="CX16">
        <f>ROUND(Y16*Source!I31,9)</f>
        <v>4.0210800000000004</v>
      </c>
      <c r="CY16">
        <f>AD16</f>
        <v>334.39</v>
      </c>
      <c r="CZ16">
        <f>AH16</f>
        <v>9.0399999999999991</v>
      </c>
      <c r="DA16">
        <f>AL16</f>
        <v>36.99</v>
      </c>
      <c r="DB16">
        <f t="shared" si="8"/>
        <v>432.74</v>
      </c>
      <c r="DC16">
        <f t="shared" si="9"/>
        <v>0</v>
      </c>
      <c r="DD16" t="s">
        <v>3</v>
      </c>
      <c r="DE16" t="s">
        <v>3</v>
      </c>
      <c r="DF16">
        <f t="shared" si="3"/>
        <v>0</v>
      </c>
      <c r="DG16">
        <f t="shared" si="11"/>
        <v>0</v>
      </c>
      <c r="DH16">
        <f t="shared" si="12"/>
        <v>0</v>
      </c>
      <c r="DI16">
        <f>ROUND(ROUND(AH16*AL16,0)*CX16,0)</f>
        <v>1343</v>
      </c>
      <c r="DJ16">
        <f>DI16</f>
        <v>1343</v>
      </c>
      <c r="DK16">
        <v>0</v>
      </c>
      <c r="DL16" t="s">
        <v>3</v>
      </c>
      <c r="DM16">
        <v>0</v>
      </c>
      <c r="DN16" t="s">
        <v>3</v>
      </c>
      <c r="DO16">
        <v>0</v>
      </c>
      <c r="GQ16">
        <v>-1</v>
      </c>
      <c r="GR16">
        <v>-1</v>
      </c>
    </row>
    <row r="17" spans="1:200" x14ac:dyDescent="0.2">
      <c r="A17">
        <f>ROW(Source!A31)</f>
        <v>31</v>
      </c>
      <c r="B17">
        <v>91261331</v>
      </c>
      <c r="C17">
        <v>91268961</v>
      </c>
      <c r="D17">
        <v>27441327</v>
      </c>
      <c r="E17">
        <v>1</v>
      </c>
      <c r="F17">
        <v>1</v>
      </c>
      <c r="G17">
        <v>1</v>
      </c>
      <c r="H17">
        <v>2</v>
      </c>
      <c r="I17" t="s">
        <v>222</v>
      </c>
      <c r="J17" t="s">
        <v>223</v>
      </c>
      <c r="K17" t="s">
        <v>224</v>
      </c>
      <c r="L17">
        <v>1368</v>
      </c>
      <c r="N17">
        <v>1011</v>
      </c>
      <c r="O17" t="s">
        <v>219</v>
      </c>
      <c r="P17" t="s">
        <v>219</v>
      </c>
      <c r="Q17">
        <v>1</v>
      </c>
      <c r="W17">
        <v>0</v>
      </c>
      <c r="X17">
        <v>-1583389094</v>
      </c>
      <c r="Y17">
        <f t="shared" si="7"/>
        <v>1.52</v>
      </c>
      <c r="AA17">
        <v>0</v>
      </c>
      <c r="AB17">
        <v>1261.43</v>
      </c>
      <c r="AC17">
        <v>432.41</v>
      </c>
      <c r="AD17">
        <v>0</v>
      </c>
      <c r="AE17">
        <v>0</v>
      </c>
      <c r="AF17">
        <v>93.37</v>
      </c>
      <c r="AG17">
        <v>11.69</v>
      </c>
      <c r="AH17">
        <v>0</v>
      </c>
      <c r="AI17">
        <v>1</v>
      </c>
      <c r="AJ17">
        <v>13.51</v>
      </c>
      <c r="AK17">
        <v>36.99</v>
      </c>
      <c r="AL17">
        <v>1</v>
      </c>
      <c r="AM17">
        <v>4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1.52</v>
      </c>
      <c r="AU17" t="s">
        <v>3</v>
      </c>
      <c r="AV17">
        <v>0</v>
      </c>
      <c r="AW17">
        <v>2</v>
      </c>
      <c r="AX17">
        <v>91268963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f>ROUND(Y17*Source!I31*DO17,9)</f>
        <v>0</v>
      </c>
      <c r="CX17">
        <f>ROUND(Y17*Source!I31,9)</f>
        <v>0.12767999999999999</v>
      </c>
      <c r="CY17">
        <f>AB17</f>
        <v>1261.43</v>
      </c>
      <c r="CZ17">
        <f>AF17</f>
        <v>93.37</v>
      </c>
      <c r="DA17">
        <f>AJ17</f>
        <v>13.51</v>
      </c>
      <c r="DB17">
        <f t="shared" si="8"/>
        <v>141.91999999999999</v>
      </c>
      <c r="DC17">
        <f t="shared" si="9"/>
        <v>17.77</v>
      </c>
      <c r="DD17" t="s">
        <v>3</v>
      </c>
      <c r="DE17" t="s">
        <v>3</v>
      </c>
      <c r="DF17">
        <f t="shared" si="3"/>
        <v>0</v>
      </c>
      <c r="DG17">
        <f>ROUND(ROUND(AF17*AJ17,0)*CX17,0)</f>
        <v>161</v>
      </c>
      <c r="DH17">
        <f>ROUND(ROUND(AG17*AK17,0)*CX17,0)</f>
        <v>55</v>
      </c>
      <c r="DI17">
        <f t="shared" ref="DI17:DI22" si="13">ROUND(ROUND(AH17,0)*CX17,0)</f>
        <v>0</v>
      </c>
      <c r="DJ17">
        <f>DG17</f>
        <v>161</v>
      </c>
      <c r="DK17">
        <v>0</v>
      </c>
      <c r="DL17" t="s">
        <v>3</v>
      </c>
      <c r="DM17">
        <v>0</v>
      </c>
      <c r="DN17" t="s">
        <v>3</v>
      </c>
      <c r="DO17">
        <v>0</v>
      </c>
      <c r="GQ17">
        <v>-1</v>
      </c>
      <c r="GR17">
        <v>-1</v>
      </c>
    </row>
    <row r="18" spans="1:200" x14ac:dyDescent="0.2">
      <c r="A18">
        <f>ROW(Source!A31)</f>
        <v>31</v>
      </c>
      <c r="B18">
        <v>91261331</v>
      </c>
      <c r="C18">
        <v>91268961</v>
      </c>
      <c r="D18">
        <v>27387103</v>
      </c>
      <c r="E18">
        <v>1</v>
      </c>
      <c r="F18">
        <v>1</v>
      </c>
      <c r="G18">
        <v>1</v>
      </c>
      <c r="H18">
        <v>3</v>
      </c>
      <c r="I18" t="s">
        <v>61</v>
      </c>
      <c r="J18" t="s">
        <v>64</v>
      </c>
      <c r="K18" t="s">
        <v>62</v>
      </c>
      <c r="L18">
        <v>1346</v>
      </c>
      <c r="N18">
        <v>1009</v>
      </c>
      <c r="O18" t="s">
        <v>63</v>
      </c>
      <c r="P18" t="s">
        <v>63</v>
      </c>
      <c r="Q18">
        <v>1</v>
      </c>
      <c r="W18">
        <v>0</v>
      </c>
      <c r="X18">
        <v>891480366</v>
      </c>
      <c r="Y18">
        <f t="shared" si="7"/>
        <v>119.047619</v>
      </c>
      <c r="AA18">
        <v>170.6</v>
      </c>
      <c r="AB18">
        <v>0</v>
      </c>
      <c r="AC18">
        <v>0</v>
      </c>
      <c r="AD18">
        <v>0</v>
      </c>
      <c r="AE18">
        <v>15.68</v>
      </c>
      <c r="AF18">
        <v>0</v>
      </c>
      <c r="AG18">
        <v>0</v>
      </c>
      <c r="AH18">
        <v>0</v>
      </c>
      <c r="AI18">
        <v>10.88</v>
      </c>
      <c r="AJ18">
        <v>1</v>
      </c>
      <c r="AK18">
        <v>1</v>
      </c>
      <c r="AL18">
        <v>1</v>
      </c>
      <c r="AM18">
        <v>0</v>
      </c>
      <c r="AN18">
        <v>1</v>
      </c>
      <c r="AO18">
        <v>0</v>
      </c>
      <c r="AP18">
        <v>0</v>
      </c>
      <c r="AQ18">
        <v>0</v>
      </c>
      <c r="AR18">
        <v>0</v>
      </c>
      <c r="AS18" t="s">
        <v>3</v>
      </c>
      <c r="AT18">
        <v>119.047619</v>
      </c>
      <c r="AU18" t="s">
        <v>3</v>
      </c>
      <c r="AV18">
        <v>0</v>
      </c>
      <c r="AW18">
        <v>2</v>
      </c>
      <c r="AX18">
        <v>91268964</v>
      </c>
      <c r="AY18">
        <v>1</v>
      </c>
      <c r="AZ18">
        <v>22528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ROUND(Y18*Source!I31,9)</f>
        <v>9.9999999959999997</v>
      </c>
      <c r="CY18">
        <f>AA18</f>
        <v>170.6</v>
      </c>
      <c r="CZ18">
        <f>AE18</f>
        <v>15.68</v>
      </c>
      <c r="DA18">
        <f>AI18</f>
        <v>10.88</v>
      </c>
      <c r="DB18">
        <f t="shared" si="8"/>
        <v>1866.67</v>
      </c>
      <c r="DC18">
        <f t="shared" si="9"/>
        <v>0</v>
      </c>
      <c r="DD18" t="s">
        <v>3</v>
      </c>
      <c r="DE18" t="s">
        <v>3</v>
      </c>
      <c r="DF18">
        <f>ROUND(ROUND(AE18*AI18,0)*CX18,0)</f>
        <v>1710</v>
      </c>
      <c r="DG18">
        <f t="shared" ref="DG18:DG23" si="14">ROUND(ROUND(AF18,0)*CX18,0)</f>
        <v>0</v>
      </c>
      <c r="DH18">
        <f t="shared" ref="DH18:DH23" si="15">ROUND(ROUND(AG18,0)*CX18,0)</f>
        <v>0</v>
      </c>
      <c r="DI18">
        <f t="shared" si="13"/>
        <v>0</v>
      </c>
      <c r="DJ18">
        <f>DF18</f>
        <v>1710</v>
      </c>
      <c r="DK18">
        <v>0</v>
      </c>
      <c r="DL18" t="s">
        <v>3</v>
      </c>
      <c r="DM18">
        <v>0</v>
      </c>
      <c r="DN18" t="s">
        <v>3</v>
      </c>
      <c r="DO18">
        <v>0</v>
      </c>
      <c r="GP18">
        <v>1</v>
      </c>
      <c r="GQ18">
        <v>-1</v>
      </c>
      <c r="GR18">
        <v>-1</v>
      </c>
    </row>
    <row r="19" spans="1:200" x14ac:dyDescent="0.2">
      <c r="A19">
        <f>ROW(Source!A31)</f>
        <v>31</v>
      </c>
      <c r="B19">
        <v>91261331</v>
      </c>
      <c r="C19">
        <v>91268961</v>
      </c>
      <c r="D19">
        <v>27407668</v>
      </c>
      <c r="E19">
        <v>1</v>
      </c>
      <c r="F19">
        <v>1</v>
      </c>
      <c r="G19">
        <v>1</v>
      </c>
      <c r="H19">
        <v>3</v>
      </c>
      <c r="I19" t="s">
        <v>70</v>
      </c>
      <c r="J19" t="s">
        <v>72</v>
      </c>
      <c r="K19" t="s">
        <v>71</v>
      </c>
      <c r="L19">
        <v>1346</v>
      </c>
      <c r="N19">
        <v>1009</v>
      </c>
      <c r="O19" t="s">
        <v>63</v>
      </c>
      <c r="P19" t="s">
        <v>63</v>
      </c>
      <c r="Q19">
        <v>1</v>
      </c>
      <c r="W19">
        <v>0</v>
      </c>
      <c r="X19">
        <v>-972204698</v>
      </c>
      <c r="Y19">
        <f t="shared" si="7"/>
        <v>320</v>
      </c>
      <c r="AA19">
        <v>73.88</v>
      </c>
      <c r="AB19">
        <v>0</v>
      </c>
      <c r="AC19">
        <v>0</v>
      </c>
      <c r="AD19">
        <v>0</v>
      </c>
      <c r="AE19">
        <v>6.79</v>
      </c>
      <c r="AF19">
        <v>0</v>
      </c>
      <c r="AG19">
        <v>0</v>
      </c>
      <c r="AH19">
        <v>0</v>
      </c>
      <c r="AI19">
        <v>10.88</v>
      </c>
      <c r="AJ19">
        <v>1</v>
      </c>
      <c r="AK19">
        <v>1</v>
      </c>
      <c r="AL19">
        <v>1</v>
      </c>
      <c r="AM19">
        <v>0</v>
      </c>
      <c r="AN19">
        <v>1</v>
      </c>
      <c r="AO19">
        <v>0</v>
      </c>
      <c r="AP19">
        <v>0</v>
      </c>
      <c r="AQ19">
        <v>0</v>
      </c>
      <c r="AR19">
        <v>0</v>
      </c>
      <c r="AS19" t="s">
        <v>3</v>
      </c>
      <c r="AT19">
        <v>320</v>
      </c>
      <c r="AU19" t="s">
        <v>3</v>
      </c>
      <c r="AV19">
        <v>0</v>
      </c>
      <c r="AW19">
        <v>2</v>
      </c>
      <c r="AX19">
        <v>91268965</v>
      </c>
      <c r="AY19">
        <v>1</v>
      </c>
      <c r="AZ19">
        <v>22528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v>0</v>
      </c>
      <c r="CX19">
        <f>ROUND(Y19*Source!I31,9)</f>
        <v>26.88</v>
      </c>
      <c r="CY19">
        <f>AA19</f>
        <v>73.88</v>
      </c>
      <c r="CZ19">
        <f>AE19</f>
        <v>6.79</v>
      </c>
      <c r="DA19">
        <f>AI19</f>
        <v>10.88</v>
      </c>
      <c r="DB19">
        <f t="shared" si="8"/>
        <v>2172.8000000000002</v>
      </c>
      <c r="DC19">
        <f t="shared" si="9"/>
        <v>0</v>
      </c>
      <c r="DD19" t="s">
        <v>3</v>
      </c>
      <c r="DE19" t="s">
        <v>3</v>
      </c>
      <c r="DF19">
        <f>ROUND(ROUND(AE19*AI19,0)*CX19,0)</f>
        <v>1989</v>
      </c>
      <c r="DG19">
        <f t="shared" si="14"/>
        <v>0</v>
      </c>
      <c r="DH19">
        <f t="shared" si="15"/>
        <v>0</v>
      </c>
      <c r="DI19">
        <f t="shared" si="13"/>
        <v>0</v>
      </c>
      <c r="DJ19">
        <f>DF19</f>
        <v>1989</v>
      </c>
      <c r="DK19">
        <v>0</v>
      </c>
      <c r="DL19" t="s">
        <v>3</v>
      </c>
      <c r="DM19">
        <v>0</v>
      </c>
      <c r="DN19" t="s">
        <v>3</v>
      </c>
      <c r="DO19">
        <v>0</v>
      </c>
      <c r="GP19">
        <v>1</v>
      </c>
      <c r="GQ19">
        <v>-1</v>
      </c>
      <c r="GR19">
        <v>-1</v>
      </c>
    </row>
    <row r="20" spans="1:200" x14ac:dyDescent="0.2">
      <c r="A20">
        <f>ROW(Source!A31)</f>
        <v>31</v>
      </c>
      <c r="B20">
        <v>91261331</v>
      </c>
      <c r="C20">
        <v>91268961</v>
      </c>
      <c r="D20">
        <v>27416566</v>
      </c>
      <c r="E20">
        <v>1</v>
      </c>
      <c r="F20">
        <v>1</v>
      </c>
      <c r="G20">
        <v>1</v>
      </c>
      <c r="H20">
        <v>3</v>
      </c>
      <c r="I20" t="s">
        <v>75</v>
      </c>
      <c r="J20" t="s">
        <v>78</v>
      </c>
      <c r="K20" t="s">
        <v>76</v>
      </c>
      <c r="L20">
        <v>1339</v>
      </c>
      <c r="N20">
        <v>1007</v>
      </c>
      <c r="O20" t="s">
        <v>77</v>
      </c>
      <c r="P20" t="s">
        <v>77</v>
      </c>
      <c r="Q20">
        <v>1</v>
      </c>
      <c r="W20">
        <v>0</v>
      </c>
      <c r="X20">
        <v>-50505369</v>
      </c>
      <c r="Y20">
        <f t="shared" si="7"/>
        <v>3.3333000000000002E-2</v>
      </c>
      <c r="AA20">
        <v>14.19</v>
      </c>
      <c r="AB20">
        <v>0</v>
      </c>
      <c r="AC20">
        <v>0</v>
      </c>
      <c r="AD20">
        <v>0</v>
      </c>
      <c r="AE20">
        <v>1.3800000000000001</v>
      </c>
      <c r="AF20">
        <v>0</v>
      </c>
      <c r="AG20">
        <v>0</v>
      </c>
      <c r="AH20">
        <v>0</v>
      </c>
      <c r="AI20">
        <v>10.88</v>
      </c>
      <c r="AJ20">
        <v>1</v>
      </c>
      <c r="AK20">
        <v>1</v>
      </c>
      <c r="AL20">
        <v>1</v>
      </c>
      <c r="AM20">
        <v>0</v>
      </c>
      <c r="AN20">
        <v>1</v>
      </c>
      <c r="AO20">
        <v>0</v>
      </c>
      <c r="AP20">
        <v>0</v>
      </c>
      <c r="AQ20">
        <v>0</v>
      </c>
      <c r="AR20">
        <v>0</v>
      </c>
      <c r="AS20" t="s">
        <v>3</v>
      </c>
      <c r="AT20">
        <v>3.3333000000000002E-2</v>
      </c>
      <c r="AU20" t="s">
        <v>3</v>
      </c>
      <c r="AV20">
        <v>0</v>
      </c>
      <c r="AW20">
        <v>2</v>
      </c>
      <c r="AX20">
        <v>91268966</v>
      </c>
      <c r="AY20">
        <v>1</v>
      </c>
      <c r="AZ20">
        <v>22528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ROUND(Y20*Source!I31,9)</f>
        <v>2.799972E-3</v>
      </c>
      <c r="CY20">
        <f>AA20</f>
        <v>14.19</v>
      </c>
      <c r="CZ20">
        <f>AE20</f>
        <v>1.3800000000000001</v>
      </c>
      <c r="DA20">
        <f>AI20</f>
        <v>10.88</v>
      </c>
      <c r="DB20">
        <f t="shared" si="8"/>
        <v>0.05</v>
      </c>
      <c r="DC20">
        <f t="shared" si="9"/>
        <v>0</v>
      </c>
      <c r="DD20" t="s">
        <v>3</v>
      </c>
      <c r="DE20" t="s">
        <v>3</v>
      </c>
      <c r="DF20">
        <f>ROUND(ROUND(AE20*AI20,0)*CX20,0)</f>
        <v>0</v>
      </c>
      <c r="DG20">
        <f t="shared" si="14"/>
        <v>0</v>
      </c>
      <c r="DH20">
        <f t="shared" si="15"/>
        <v>0</v>
      </c>
      <c r="DI20">
        <f t="shared" si="13"/>
        <v>0</v>
      </c>
      <c r="DJ20">
        <f>DF20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  <c r="GP20">
        <v>1</v>
      </c>
      <c r="GQ20">
        <v>-1</v>
      </c>
      <c r="GR20">
        <v>-1</v>
      </c>
    </row>
    <row r="21" spans="1:200" x14ac:dyDescent="0.2">
      <c r="A21">
        <f>ROW(Source!A38)</f>
        <v>38</v>
      </c>
      <c r="B21">
        <v>91261330</v>
      </c>
      <c r="C21">
        <v>91268970</v>
      </c>
      <c r="D21">
        <v>27498288</v>
      </c>
      <c r="E21">
        <v>1</v>
      </c>
      <c r="F21">
        <v>1</v>
      </c>
      <c r="G21">
        <v>1</v>
      </c>
      <c r="H21">
        <v>1</v>
      </c>
      <c r="I21" t="s">
        <v>220</v>
      </c>
      <c r="J21" t="s">
        <v>3</v>
      </c>
      <c r="K21" t="s">
        <v>221</v>
      </c>
      <c r="L21">
        <v>1369</v>
      </c>
      <c r="N21">
        <v>1013</v>
      </c>
      <c r="O21" t="s">
        <v>211</v>
      </c>
      <c r="P21" t="s">
        <v>211</v>
      </c>
      <c r="Q21">
        <v>1</v>
      </c>
      <c r="W21">
        <v>0</v>
      </c>
      <c r="X21">
        <v>1223303326</v>
      </c>
      <c r="Y21">
        <f>(AT21*3.6)</f>
        <v>15.768000000000001</v>
      </c>
      <c r="AA21">
        <v>0</v>
      </c>
      <c r="AB21">
        <v>0</v>
      </c>
      <c r="AC21">
        <v>0</v>
      </c>
      <c r="AD21">
        <v>9.0399999999999991</v>
      </c>
      <c r="AE21">
        <v>0</v>
      </c>
      <c r="AF21">
        <v>0</v>
      </c>
      <c r="AG21">
        <v>0</v>
      </c>
      <c r="AH21">
        <v>9.0399999999999991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4.38</v>
      </c>
      <c r="AU21" t="s">
        <v>84</v>
      </c>
      <c r="AV21">
        <v>1</v>
      </c>
      <c r="AW21">
        <v>2</v>
      </c>
      <c r="AX21">
        <v>91268971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U21">
        <f>ROUND(AT21*Source!I38*AH21*AL21,0)</f>
        <v>-3</v>
      </c>
      <c r="CV21">
        <f>ROUND(Y21*Source!I38,9)</f>
        <v>-1.3245119999999999</v>
      </c>
      <c r="CW21">
        <v>0</v>
      </c>
      <c r="CX21">
        <f>ROUND(Y21*Source!I38,9)</f>
        <v>-1.3245119999999999</v>
      </c>
      <c r="CY21">
        <f>AD21</f>
        <v>9.0399999999999991</v>
      </c>
      <c r="CZ21">
        <f>AH21</f>
        <v>9.0399999999999991</v>
      </c>
      <c r="DA21">
        <f>AL21</f>
        <v>1</v>
      </c>
      <c r="DB21">
        <f>ROUND((ROUND(AT21*CZ21,2)*3.6),2)</f>
        <v>142.56</v>
      </c>
      <c r="DC21">
        <f>ROUND((ROUND(AT21*AG21,2)*3.6),2)</f>
        <v>0</v>
      </c>
      <c r="DD21" t="s">
        <v>3</v>
      </c>
      <c r="DE21" t="s">
        <v>3</v>
      </c>
      <c r="DF21">
        <f t="shared" ref="DF21:DF26" si="16">ROUND(ROUND(AE21,0)*CX21,0)</f>
        <v>0</v>
      </c>
      <c r="DG21">
        <f t="shared" si="14"/>
        <v>0</v>
      </c>
      <c r="DH21">
        <f t="shared" si="15"/>
        <v>0</v>
      </c>
      <c r="DI21">
        <f t="shared" si="13"/>
        <v>-12</v>
      </c>
      <c r="DJ21">
        <f>DI21</f>
        <v>-12</v>
      </c>
      <c r="DK21">
        <v>0</v>
      </c>
      <c r="DL21" t="s">
        <v>3</v>
      </c>
      <c r="DM21">
        <v>0</v>
      </c>
      <c r="DN21" t="s">
        <v>3</v>
      </c>
      <c r="DO21">
        <v>0</v>
      </c>
      <c r="GQ21">
        <v>-1</v>
      </c>
      <c r="GR21">
        <v>-1</v>
      </c>
    </row>
    <row r="22" spans="1:200" x14ac:dyDescent="0.2">
      <c r="A22">
        <f>ROW(Source!A38)</f>
        <v>38</v>
      </c>
      <c r="B22">
        <v>91261330</v>
      </c>
      <c r="C22">
        <v>91268970</v>
      </c>
      <c r="D22">
        <v>27441327</v>
      </c>
      <c r="E22">
        <v>1</v>
      </c>
      <c r="F22">
        <v>1</v>
      </c>
      <c r="G22">
        <v>1</v>
      </c>
      <c r="H22">
        <v>2</v>
      </c>
      <c r="I22" t="s">
        <v>222</v>
      </c>
      <c r="J22" t="s">
        <v>223</v>
      </c>
      <c r="K22" t="s">
        <v>224</v>
      </c>
      <c r="L22">
        <v>1368</v>
      </c>
      <c r="N22">
        <v>1011</v>
      </c>
      <c r="O22" t="s">
        <v>219</v>
      </c>
      <c r="P22" t="s">
        <v>219</v>
      </c>
      <c r="Q22">
        <v>1</v>
      </c>
      <c r="W22">
        <v>0</v>
      </c>
      <c r="X22">
        <v>-1583389094</v>
      </c>
      <c r="Y22">
        <f>(AT22*3.6)</f>
        <v>1.3680000000000001</v>
      </c>
      <c r="AA22">
        <v>0</v>
      </c>
      <c r="AB22">
        <v>93.37</v>
      </c>
      <c r="AC22">
        <v>11.69</v>
      </c>
      <c r="AD22">
        <v>0</v>
      </c>
      <c r="AE22">
        <v>0</v>
      </c>
      <c r="AF22">
        <v>93.37</v>
      </c>
      <c r="AG22">
        <v>11.69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0.38</v>
      </c>
      <c r="AU22" t="s">
        <v>84</v>
      </c>
      <c r="AV22">
        <v>0</v>
      </c>
      <c r="AW22">
        <v>2</v>
      </c>
      <c r="AX22">
        <v>91268972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f>ROUND(Y22*Source!I38*DO22,9)</f>
        <v>0</v>
      </c>
      <c r="CX22">
        <f>ROUND(Y22*Source!I38,9)</f>
        <v>-0.114912</v>
      </c>
      <c r="CY22">
        <f>AB22</f>
        <v>93.37</v>
      </c>
      <c r="CZ22">
        <f>AF22</f>
        <v>93.37</v>
      </c>
      <c r="DA22">
        <f>AJ22</f>
        <v>1</v>
      </c>
      <c r="DB22">
        <f>ROUND((ROUND(AT22*CZ22,2)*3.6),2)</f>
        <v>127.73</v>
      </c>
      <c r="DC22">
        <f>ROUND((ROUND(AT22*AG22,2)*3.6),2)</f>
        <v>15.98</v>
      </c>
      <c r="DD22" t="s">
        <v>3</v>
      </c>
      <c r="DE22" t="s">
        <v>3</v>
      </c>
      <c r="DF22">
        <f t="shared" si="16"/>
        <v>0</v>
      </c>
      <c r="DG22">
        <f t="shared" si="14"/>
        <v>-11</v>
      </c>
      <c r="DH22">
        <f t="shared" si="15"/>
        <v>-1</v>
      </c>
      <c r="DI22">
        <f t="shared" si="13"/>
        <v>0</v>
      </c>
      <c r="DJ22">
        <f>DG22</f>
        <v>-11</v>
      </c>
      <c r="DK22">
        <v>0</v>
      </c>
      <c r="DL22" t="s">
        <v>3</v>
      </c>
      <c r="DM22">
        <v>0</v>
      </c>
      <c r="DN22" t="s">
        <v>3</v>
      </c>
      <c r="DO22">
        <v>0</v>
      </c>
      <c r="GQ22">
        <v>-1</v>
      </c>
      <c r="GR22">
        <v>-1</v>
      </c>
    </row>
    <row r="23" spans="1:200" x14ac:dyDescent="0.2">
      <c r="A23">
        <f>ROW(Source!A39)</f>
        <v>39</v>
      </c>
      <c r="B23">
        <v>91261331</v>
      </c>
      <c r="C23">
        <v>91268970</v>
      </c>
      <c r="D23">
        <v>27498288</v>
      </c>
      <c r="E23">
        <v>1</v>
      </c>
      <c r="F23">
        <v>1</v>
      </c>
      <c r="G23">
        <v>1</v>
      </c>
      <c r="H23">
        <v>1</v>
      </c>
      <c r="I23" t="s">
        <v>220</v>
      </c>
      <c r="J23" t="s">
        <v>3</v>
      </c>
      <c r="K23" t="s">
        <v>221</v>
      </c>
      <c r="L23">
        <v>1369</v>
      </c>
      <c r="N23">
        <v>1013</v>
      </c>
      <c r="O23" t="s">
        <v>211</v>
      </c>
      <c r="P23" t="s">
        <v>211</v>
      </c>
      <c r="Q23">
        <v>1</v>
      </c>
      <c r="W23">
        <v>0</v>
      </c>
      <c r="X23">
        <v>1223303326</v>
      </c>
      <c r="Y23">
        <f>(AT23*3.6)</f>
        <v>15.768000000000001</v>
      </c>
      <c r="AA23">
        <v>0</v>
      </c>
      <c r="AB23">
        <v>0</v>
      </c>
      <c r="AC23">
        <v>0</v>
      </c>
      <c r="AD23">
        <v>334.39</v>
      </c>
      <c r="AE23">
        <v>0</v>
      </c>
      <c r="AF23">
        <v>0</v>
      </c>
      <c r="AG23">
        <v>0</v>
      </c>
      <c r="AH23">
        <v>9.0399999999999991</v>
      </c>
      <c r="AI23">
        <v>1</v>
      </c>
      <c r="AJ23">
        <v>1</v>
      </c>
      <c r="AK23">
        <v>1</v>
      </c>
      <c r="AL23">
        <v>36.99</v>
      </c>
      <c r="AM23">
        <v>4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4.38</v>
      </c>
      <c r="AU23" t="s">
        <v>84</v>
      </c>
      <c r="AV23">
        <v>1</v>
      </c>
      <c r="AW23">
        <v>2</v>
      </c>
      <c r="AX23">
        <v>91268971</v>
      </c>
      <c r="AY23">
        <v>1</v>
      </c>
      <c r="AZ23">
        <v>0</v>
      </c>
      <c r="BA23">
        <v>25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U23">
        <f>ROUND(AT23*Source!I39*AH23*AL23,0)</f>
        <v>-123</v>
      </c>
      <c r="CV23">
        <f>ROUND(Y23*Source!I39,9)</f>
        <v>-1.3245119999999999</v>
      </c>
      <c r="CW23">
        <v>0</v>
      </c>
      <c r="CX23">
        <f>ROUND(Y23*Source!I39,9)</f>
        <v>-1.3245119999999999</v>
      </c>
      <c r="CY23">
        <f>AD23</f>
        <v>334.39</v>
      </c>
      <c r="CZ23">
        <f>AH23</f>
        <v>9.0399999999999991</v>
      </c>
      <c r="DA23">
        <f>AL23</f>
        <v>36.99</v>
      </c>
      <c r="DB23">
        <f>ROUND((ROUND(AT23*CZ23,2)*3.6),2)</f>
        <v>142.56</v>
      </c>
      <c r="DC23">
        <f>ROUND((ROUND(AT23*AG23,2)*3.6),2)</f>
        <v>0</v>
      </c>
      <c r="DD23" t="s">
        <v>3</v>
      </c>
      <c r="DE23" t="s">
        <v>3</v>
      </c>
      <c r="DF23">
        <f t="shared" si="16"/>
        <v>0</v>
      </c>
      <c r="DG23">
        <f t="shared" si="14"/>
        <v>0</v>
      </c>
      <c r="DH23">
        <f t="shared" si="15"/>
        <v>0</v>
      </c>
      <c r="DI23">
        <f>ROUND(ROUND(AH23*AL23,0)*CX23,0)</f>
        <v>-442</v>
      </c>
      <c r="DJ23">
        <f>DI23</f>
        <v>-442</v>
      </c>
      <c r="DK23">
        <v>0</v>
      </c>
      <c r="DL23" t="s">
        <v>3</v>
      </c>
      <c r="DM23">
        <v>0</v>
      </c>
      <c r="DN23" t="s">
        <v>3</v>
      </c>
      <c r="DO23">
        <v>0</v>
      </c>
      <c r="GQ23">
        <v>-1</v>
      </c>
      <c r="GR23">
        <v>-1</v>
      </c>
    </row>
    <row r="24" spans="1:200" x14ac:dyDescent="0.2">
      <c r="A24">
        <f>ROW(Source!A39)</f>
        <v>39</v>
      </c>
      <c r="B24">
        <v>91261331</v>
      </c>
      <c r="C24">
        <v>91268970</v>
      </c>
      <c r="D24">
        <v>27441327</v>
      </c>
      <c r="E24">
        <v>1</v>
      </c>
      <c r="F24">
        <v>1</v>
      </c>
      <c r="G24">
        <v>1</v>
      </c>
      <c r="H24">
        <v>2</v>
      </c>
      <c r="I24" t="s">
        <v>222</v>
      </c>
      <c r="J24" t="s">
        <v>223</v>
      </c>
      <c r="K24" t="s">
        <v>224</v>
      </c>
      <c r="L24">
        <v>1368</v>
      </c>
      <c r="N24">
        <v>1011</v>
      </c>
      <c r="O24" t="s">
        <v>219</v>
      </c>
      <c r="P24" t="s">
        <v>219</v>
      </c>
      <c r="Q24">
        <v>1</v>
      </c>
      <c r="W24">
        <v>0</v>
      </c>
      <c r="X24">
        <v>-1583389094</v>
      </c>
      <c r="Y24">
        <f>(AT24*3.6)</f>
        <v>1.3680000000000001</v>
      </c>
      <c r="AA24">
        <v>0</v>
      </c>
      <c r="AB24">
        <v>1261.43</v>
      </c>
      <c r="AC24">
        <v>432.41</v>
      </c>
      <c r="AD24">
        <v>0</v>
      </c>
      <c r="AE24">
        <v>0</v>
      </c>
      <c r="AF24">
        <v>93.37</v>
      </c>
      <c r="AG24">
        <v>11.69</v>
      </c>
      <c r="AH24">
        <v>0</v>
      </c>
      <c r="AI24">
        <v>1</v>
      </c>
      <c r="AJ24">
        <v>13.51</v>
      </c>
      <c r="AK24">
        <v>36.99</v>
      </c>
      <c r="AL24">
        <v>1</v>
      </c>
      <c r="AM24">
        <v>4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0.38</v>
      </c>
      <c r="AU24" t="s">
        <v>84</v>
      </c>
      <c r="AV24">
        <v>0</v>
      </c>
      <c r="AW24">
        <v>2</v>
      </c>
      <c r="AX24">
        <v>91268972</v>
      </c>
      <c r="AY24">
        <v>1</v>
      </c>
      <c r="AZ24">
        <v>0</v>
      </c>
      <c r="BA24">
        <v>26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f>ROUND(Y24*Source!I39*DO24,9)</f>
        <v>0</v>
      </c>
      <c r="CX24">
        <f>ROUND(Y24*Source!I39,9)</f>
        <v>-0.114912</v>
      </c>
      <c r="CY24">
        <f>AB24</f>
        <v>1261.43</v>
      </c>
      <c r="CZ24">
        <f>AF24</f>
        <v>93.37</v>
      </c>
      <c r="DA24">
        <f>AJ24</f>
        <v>13.51</v>
      </c>
      <c r="DB24">
        <f>ROUND((ROUND(AT24*CZ24,2)*3.6),2)</f>
        <v>127.73</v>
      </c>
      <c r="DC24">
        <f>ROUND((ROUND(AT24*AG24,2)*3.6),2)</f>
        <v>15.98</v>
      </c>
      <c r="DD24" t="s">
        <v>3</v>
      </c>
      <c r="DE24" t="s">
        <v>3</v>
      </c>
      <c r="DF24">
        <f t="shared" si="16"/>
        <v>0</v>
      </c>
      <c r="DG24">
        <f>ROUND(ROUND(AF24*AJ24,0)*CX24,0)</f>
        <v>-145</v>
      </c>
      <c r="DH24">
        <f>ROUND(ROUND(AG24*AK24,0)*CX24,0)</f>
        <v>-50</v>
      </c>
      <c r="DI24">
        <f>ROUND(ROUND(AH24,0)*CX24,0)</f>
        <v>0</v>
      </c>
      <c r="DJ24">
        <f>DG24</f>
        <v>-145</v>
      </c>
      <c r="DK24">
        <v>0</v>
      </c>
      <c r="DL24" t="s">
        <v>3</v>
      </c>
      <c r="DM24">
        <v>0</v>
      </c>
      <c r="DN24" t="s">
        <v>3</v>
      </c>
      <c r="DO24">
        <v>0</v>
      </c>
      <c r="GQ24">
        <v>-1</v>
      </c>
      <c r="GR24">
        <v>-1</v>
      </c>
    </row>
    <row r="25" spans="1:200" x14ac:dyDescent="0.2">
      <c r="A25">
        <f>ROW(Source!A40)</f>
        <v>40</v>
      </c>
      <c r="B25">
        <v>91261330</v>
      </c>
      <c r="C25">
        <v>91270123</v>
      </c>
      <c r="D25">
        <v>27493207</v>
      </c>
      <c r="E25">
        <v>1</v>
      </c>
      <c r="F25">
        <v>1</v>
      </c>
      <c r="G25">
        <v>1</v>
      </c>
      <c r="H25">
        <v>1</v>
      </c>
      <c r="I25" t="s">
        <v>209</v>
      </c>
      <c r="J25" t="s">
        <v>3</v>
      </c>
      <c r="K25" t="s">
        <v>210</v>
      </c>
      <c r="L25">
        <v>1369</v>
      </c>
      <c r="N25">
        <v>1013</v>
      </c>
      <c r="O25" t="s">
        <v>211</v>
      </c>
      <c r="P25" t="s">
        <v>211</v>
      </c>
      <c r="Q25">
        <v>1</v>
      </c>
      <c r="W25">
        <v>0</v>
      </c>
      <c r="X25">
        <v>-1900352537</v>
      </c>
      <c r="Y25">
        <f>AT25</f>
        <v>20.8</v>
      </c>
      <c r="AA25">
        <v>0</v>
      </c>
      <c r="AB25">
        <v>0</v>
      </c>
      <c r="AC25">
        <v>0</v>
      </c>
      <c r="AD25">
        <v>7.87</v>
      </c>
      <c r="AE25">
        <v>0</v>
      </c>
      <c r="AF25">
        <v>0</v>
      </c>
      <c r="AG25">
        <v>0</v>
      </c>
      <c r="AH25">
        <v>7.87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20.8</v>
      </c>
      <c r="AU25" t="s">
        <v>3</v>
      </c>
      <c r="AV25">
        <v>1</v>
      </c>
      <c r="AW25">
        <v>2</v>
      </c>
      <c r="AX25">
        <v>91270124</v>
      </c>
      <c r="AY25">
        <v>1</v>
      </c>
      <c r="AZ25">
        <v>0</v>
      </c>
      <c r="BA25">
        <v>29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U25">
        <f>ROUND(AT25*Source!I40*AH25*AL25,0)</f>
        <v>14</v>
      </c>
      <c r="CV25">
        <f>ROUND(Y25*Source!I40,9)</f>
        <v>1.7472000000000001</v>
      </c>
      <c r="CW25">
        <v>0</v>
      </c>
      <c r="CX25">
        <f>ROUND(Y25*Source!I40,9)</f>
        <v>1.7472000000000001</v>
      </c>
      <c r="CY25">
        <f>AD25</f>
        <v>7.87</v>
      </c>
      <c r="CZ25">
        <f>AH25</f>
        <v>7.87</v>
      </c>
      <c r="DA25">
        <f>AL25</f>
        <v>1</v>
      </c>
      <c r="DB25">
        <f>ROUND(ROUND(AT25*CZ25,2),2)</f>
        <v>163.69999999999999</v>
      </c>
      <c r="DC25">
        <f>ROUND(ROUND(AT25*AG25,2),2)</f>
        <v>0</v>
      </c>
      <c r="DD25" t="s">
        <v>3</v>
      </c>
      <c r="DE25" t="s">
        <v>3</v>
      </c>
      <c r="DF25">
        <f t="shared" si="16"/>
        <v>0</v>
      </c>
      <c r="DG25">
        <f>ROUND(ROUND(AF25,0)*CX25,0)</f>
        <v>0</v>
      </c>
      <c r="DH25">
        <f>ROUND(ROUND(AG25,0)*CX25,0)</f>
        <v>0</v>
      </c>
      <c r="DI25">
        <f>ROUND(ROUND(AH25,0)*CX25,0)</f>
        <v>14</v>
      </c>
      <c r="DJ25">
        <f>DI25</f>
        <v>14</v>
      </c>
      <c r="DK25">
        <v>0</v>
      </c>
      <c r="DL25" t="s">
        <v>3</v>
      </c>
      <c r="DM25">
        <v>0</v>
      </c>
      <c r="DN25" t="s">
        <v>3</v>
      </c>
      <c r="DO25">
        <v>0</v>
      </c>
      <c r="GQ25">
        <v>-1</v>
      </c>
      <c r="GR25">
        <v>-1</v>
      </c>
    </row>
    <row r="26" spans="1:200" x14ac:dyDescent="0.2">
      <c r="A26">
        <f>ROW(Source!A41)</f>
        <v>41</v>
      </c>
      <c r="B26">
        <v>91261331</v>
      </c>
      <c r="C26">
        <v>91270123</v>
      </c>
      <c r="D26">
        <v>27493207</v>
      </c>
      <c r="E26">
        <v>1</v>
      </c>
      <c r="F26">
        <v>1</v>
      </c>
      <c r="G26">
        <v>1</v>
      </c>
      <c r="H26">
        <v>1</v>
      </c>
      <c r="I26" t="s">
        <v>209</v>
      </c>
      <c r="J26" t="s">
        <v>3</v>
      </c>
      <c r="K26" t="s">
        <v>210</v>
      </c>
      <c r="L26">
        <v>1369</v>
      </c>
      <c r="N26">
        <v>1013</v>
      </c>
      <c r="O26" t="s">
        <v>211</v>
      </c>
      <c r="P26" t="s">
        <v>211</v>
      </c>
      <c r="Q26">
        <v>1</v>
      </c>
      <c r="W26">
        <v>0</v>
      </c>
      <c r="X26">
        <v>-1900352537</v>
      </c>
      <c r="Y26">
        <f>AT26</f>
        <v>20.8</v>
      </c>
      <c r="AA26">
        <v>0</v>
      </c>
      <c r="AB26">
        <v>0</v>
      </c>
      <c r="AC26">
        <v>0</v>
      </c>
      <c r="AD26">
        <v>291.11</v>
      </c>
      <c r="AE26">
        <v>0</v>
      </c>
      <c r="AF26">
        <v>0</v>
      </c>
      <c r="AG26">
        <v>0</v>
      </c>
      <c r="AH26">
        <v>7.87</v>
      </c>
      <c r="AI26">
        <v>1</v>
      </c>
      <c r="AJ26">
        <v>1</v>
      </c>
      <c r="AK26">
        <v>1</v>
      </c>
      <c r="AL26">
        <v>36.99</v>
      </c>
      <c r="AM26">
        <v>4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3</v>
      </c>
      <c r="AT26">
        <v>20.8</v>
      </c>
      <c r="AU26" t="s">
        <v>3</v>
      </c>
      <c r="AV26">
        <v>1</v>
      </c>
      <c r="AW26">
        <v>2</v>
      </c>
      <c r="AX26">
        <v>91270124</v>
      </c>
      <c r="AY26">
        <v>1</v>
      </c>
      <c r="AZ26">
        <v>0</v>
      </c>
      <c r="BA26">
        <v>30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U26">
        <f>ROUND(AT26*Source!I41*AH26*AL26,0)</f>
        <v>509</v>
      </c>
      <c r="CV26">
        <f>ROUND(Y26*Source!I41,9)</f>
        <v>1.7472000000000001</v>
      </c>
      <c r="CW26">
        <v>0</v>
      </c>
      <c r="CX26">
        <f>ROUND(Y26*Source!I41,9)</f>
        <v>1.7472000000000001</v>
      </c>
      <c r="CY26">
        <f>AD26</f>
        <v>291.11</v>
      </c>
      <c r="CZ26">
        <f>AH26</f>
        <v>7.87</v>
      </c>
      <c r="DA26">
        <f>AL26</f>
        <v>36.99</v>
      </c>
      <c r="DB26">
        <f>ROUND(ROUND(AT26*CZ26,2),2)</f>
        <v>163.69999999999999</v>
      </c>
      <c r="DC26">
        <f>ROUND(ROUND(AT26*AG26,2),2)</f>
        <v>0</v>
      </c>
      <c r="DD26" t="s">
        <v>3</v>
      </c>
      <c r="DE26" t="s">
        <v>3</v>
      </c>
      <c r="DF26">
        <f t="shared" si="16"/>
        <v>0</v>
      </c>
      <c r="DG26">
        <f>ROUND(ROUND(AF26,0)*CX26,0)</f>
        <v>0</v>
      </c>
      <c r="DH26">
        <f>ROUND(ROUND(AG26,0)*CX26,0)</f>
        <v>0</v>
      </c>
      <c r="DI26">
        <f>ROUND(ROUND(AH26*AL26,0)*CX26,0)</f>
        <v>508</v>
      </c>
      <c r="DJ26">
        <f>DI26</f>
        <v>508</v>
      </c>
      <c r="DK26">
        <v>0</v>
      </c>
      <c r="DL26" t="s">
        <v>3</v>
      </c>
      <c r="DM26">
        <v>0</v>
      </c>
      <c r="DN26" t="s">
        <v>3</v>
      </c>
      <c r="DO26">
        <v>0</v>
      </c>
      <c r="GQ26">
        <v>-1</v>
      </c>
      <c r="GR26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3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91269682</v>
      </c>
      <c r="C1">
        <v>91269680</v>
      </c>
      <c r="D1">
        <v>27493207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X1">
        <v>20.8</v>
      </c>
      <c r="Y1">
        <v>0</v>
      </c>
      <c r="Z1">
        <v>0</v>
      </c>
      <c r="AA1">
        <v>0</v>
      </c>
      <c r="AB1">
        <v>7.87</v>
      </c>
      <c r="AC1">
        <v>0</v>
      </c>
      <c r="AD1">
        <v>1</v>
      </c>
      <c r="AE1">
        <v>1</v>
      </c>
      <c r="AF1" t="s">
        <v>3</v>
      </c>
      <c r="AG1">
        <v>20.8</v>
      </c>
      <c r="AH1">
        <v>2</v>
      </c>
      <c r="AI1">
        <v>91269681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ROW(Source!A25)</f>
        <v>25</v>
      </c>
      <c r="B2">
        <v>91269682</v>
      </c>
      <c r="C2">
        <v>91269680</v>
      </c>
      <c r="D2">
        <v>27493207</v>
      </c>
      <c r="E2">
        <v>1</v>
      </c>
      <c r="F2">
        <v>1</v>
      </c>
      <c r="G2">
        <v>1</v>
      </c>
      <c r="H2">
        <v>1</v>
      </c>
      <c r="I2" t="s">
        <v>209</v>
      </c>
      <c r="J2" t="s">
        <v>3</v>
      </c>
      <c r="K2" t="s">
        <v>210</v>
      </c>
      <c r="L2">
        <v>1369</v>
      </c>
      <c r="N2">
        <v>1013</v>
      </c>
      <c r="O2" t="s">
        <v>211</v>
      </c>
      <c r="P2" t="s">
        <v>211</v>
      </c>
      <c r="Q2">
        <v>1</v>
      </c>
      <c r="X2">
        <v>20.8</v>
      </c>
      <c r="Y2">
        <v>0</v>
      </c>
      <c r="Z2">
        <v>0</v>
      </c>
      <c r="AA2">
        <v>0</v>
      </c>
      <c r="AB2">
        <v>7.87</v>
      </c>
      <c r="AC2">
        <v>0</v>
      </c>
      <c r="AD2">
        <v>1</v>
      </c>
      <c r="AE2">
        <v>1</v>
      </c>
      <c r="AF2" t="s">
        <v>3</v>
      </c>
      <c r="AG2">
        <v>20.8</v>
      </c>
      <c r="AH2">
        <v>2</v>
      </c>
      <c r="AI2">
        <v>91269681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ROW(Source!A26)</f>
        <v>26</v>
      </c>
      <c r="B3">
        <v>91264517</v>
      </c>
      <c r="C3">
        <v>91264515</v>
      </c>
      <c r="D3">
        <v>27493458</v>
      </c>
      <c r="E3">
        <v>1</v>
      </c>
      <c r="F3">
        <v>1</v>
      </c>
      <c r="G3">
        <v>1</v>
      </c>
      <c r="H3">
        <v>1</v>
      </c>
      <c r="I3" t="s">
        <v>212</v>
      </c>
      <c r="J3" t="s">
        <v>3</v>
      </c>
      <c r="K3" t="s">
        <v>213</v>
      </c>
      <c r="L3">
        <v>1369</v>
      </c>
      <c r="N3">
        <v>1013</v>
      </c>
      <c r="O3" t="s">
        <v>211</v>
      </c>
      <c r="P3" t="s">
        <v>211</v>
      </c>
      <c r="Q3">
        <v>1</v>
      </c>
      <c r="X3">
        <v>0.9</v>
      </c>
      <c r="Y3">
        <v>0</v>
      </c>
      <c r="Z3">
        <v>0</v>
      </c>
      <c r="AA3">
        <v>0</v>
      </c>
      <c r="AB3">
        <v>8.6</v>
      </c>
      <c r="AC3">
        <v>0</v>
      </c>
      <c r="AD3">
        <v>1</v>
      </c>
      <c r="AE3">
        <v>1</v>
      </c>
      <c r="AF3" t="s">
        <v>32</v>
      </c>
      <c r="AG3">
        <v>1.0349999999999999</v>
      </c>
      <c r="AH3">
        <v>2</v>
      </c>
      <c r="AI3">
        <v>91264516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ROW(Source!A27)</f>
        <v>27</v>
      </c>
      <c r="B4">
        <v>91264517</v>
      </c>
      <c r="C4">
        <v>91264515</v>
      </c>
      <c r="D4">
        <v>27493458</v>
      </c>
      <c r="E4">
        <v>1</v>
      </c>
      <c r="F4">
        <v>1</v>
      </c>
      <c r="G4">
        <v>1</v>
      </c>
      <c r="H4">
        <v>1</v>
      </c>
      <c r="I4" t="s">
        <v>212</v>
      </c>
      <c r="J4" t="s">
        <v>3</v>
      </c>
      <c r="K4" t="s">
        <v>213</v>
      </c>
      <c r="L4">
        <v>1369</v>
      </c>
      <c r="N4">
        <v>1013</v>
      </c>
      <c r="O4" t="s">
        <v>211</v>
      </c>
      <c r="P4" t="s">
        <v>211</v>
      </c>
      <c r="Q4">
        <v>1</v>
      </c>
      <c r="X4">
        <v>0.9</v>
      </c>
      <c r="Y4">
        <v>0</v>
      </c>
      <c r="Z4">
        <v>0</v>
      </c>
      <c r="AA4">
        <v>0</v>
      </c>
      <c r="AB4">
        <v>8.6</v>
      </c>
      <c r="AC4">
        <v>0</v>
      </c>
      <c r="AD4">
        <v>1</v>
      </c>
      <c r="AE4">
        <v>1</v>
      </c>
      <c r="AF4" t="s">
        <v>32</v>
      </c>
      <c r="AG4">
        <v>1.0349999999999999</v>
      </c>
      <c r="AH4">
        <v>2</v>
      </c>
      <c r="AI4">
        <v>91264516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ROW(Source!A28)</f>
        <v>28</v>
      </c>
      <c r="B5">
        <v>91269677</v>
      </c>
      <c r="C5">
        <v>91269676</v>
      </c>
      <c r="D5">
        <v>27493458</v>
      </c>
      <c r="E5">
        <v>1</v>
      </c>
      <c r="F5">
        <v>1</v>
      </c>
      <c r="G5">
        <v>1</v>
      </c>
      <c r="H5">
        <v>1</v>
      </c>
      <c r="I5" t="s">
        <v>212</v>
      </c>
      <c r="J5" t="s">
        <v>3</v>
      </c>
      <c r="K5" t="s">
        <v>213</v>
      </c>
      <c r="L5">
        <v>1369</v>
      </c>
      <c r="N5">
        <v>1013</v>
      </c>
      <c r="O5" t="s">
        <v>211</v>
      </c>
      <c r="P5" t="s">
        <v>211</v>
      </c>
      <c r="Q5">
        <v>1</v>
      </c>
      <c r="X5">
        <v>5.33</v>
      </c>
      <c r="Y5">
        <v>0</v>
      </c>
      <c r="Z5">
        <v>0</v>
      </c>
      <c r="AA5">
        <v>0</v>
      </c>
      <c r="AB5">
        <v>8.6</v>
      </c>
      <c r="AC5">
        <v>0</v>
      </c>
      <c r="AD5">
        <v>1</v>
      </c>
      <c r="AE5">
        <v>1</v>
      </c>
      <c r="AF5" t="s">
        <v>3</v>
      </c>
      <c r="AG5">
        <v>5.33</v>
      </c>
      <c r="AH5">
        <v>2</v>
      </c>
      <c r="AI5">
        <v>91269677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91269678</v>
      </c>
      <c r="C6">
        <v>91269676</v>
      </c>
      <c r="D6">
        <v>121548</v>
      </c>
      <c r="E6">
        <v>1</v>
      </c>
      <c r="F6">
        <v>1</v>
      </c>
      <c r="G6">
        <v>1</v>
      </c>
      <c r="H6">
        <v>1</v>
      </c>
      <c r="I6" t="s">
        <v>26</v>
      </c>
      <c r="J6" t="s">
        <v>3</v>
      </c>
      <c r="K6" t="s">
        <v>214</v>
      </c>
      <c r="L6">
        <v>608254</v>
      </c>
      <c r="N6">
        <v>1013</v>
      </c>
      <c r="O6" t="s">
        <v>215</v>
      </c>
      <c r="P6" t="s">
        <v>215</v>
      </c>
      <c r="Q6">
        <v>1</v>
      </c>
      <c r="X6">
        <v>3.56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3</v>
      </c>
      <c r="AG6">
        <v>3.56</v>
      </c>
      <c r="AH6">
        <v>2</v>
      </c>
      <c r="AI6">
        <v>91269678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ROW(Source!A28)</f>
        <v>28</v>
      </c>
      <c r="B7">
        <v>91269679</v>
      </c>
      <c r="C7">
        <v>91269676</v>
      </c>
      <c r="D7">
        <v>27440032</v>
      </c>
      <c r="E7">
        <v>1</v>
      </c>
      <c r="F7">
        <v>1</v>
      </c>
      <c r="G7">
        <v>1</v>
      </c>
      <c r="H7">
        <v>2</v>
      </c>
      <c r="I7" t="s">
        <v>216</v>
      </c>
      <c r="J7" t="s">
        <v>217</v>
      </c>
      <c r="K7" t="s">
        <v>218</v>
      </c>
      <c r="L7">
        <v>1368</v>
      </c>
      <c r="N7">
        <v>1011</v>
      </c>
      <c r="O7" t="s">
        <v>219</v>
      </c>
      <c r="P7" t="s">
        <v>219</v>
      </c>
      <c r="Q7">
        <v>1</v>
      </c>
      <c r="X7">
        <v>3.56</v>
      </c>
      <c r="Y7">
        <v>0</v>
      </c>
      <c r="Z7">
        <v>12.43</v>
      </c>
      <c r="AA7">
        <v>10.14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3.56</v>
      </c>
      <c r="AH7">
        <v>2</v>
      </c>
      <c r="AI7">
        <v>91269679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91269677</v>
      </c>
      <c r="C8">
        <v>91269676</v>
      </c>
      <c r="D8">
        <v>27493458</v>
      </c>
      <c r="E8">
        <v>1</v>
      </c>
      <c r="F8">
        <v>1</v>
      </c>
      <c r="G8">
        <v>1</v>
      </c>
      <c r="H8">
        <v>1</v>
      </c>
      <c r="I8" t="s">
        <v>212</v>
      </c>
      <c r="J8" t="s">
        <v>3</v>
      </c>
      <c r="K8" t="s">
        <v>213</v>
      </c>
      <c r="L8">
        <v>1369</v>
      </c>
      <c r="N8">
        <v>1013</v>
      </c>
      <c r="O8" t="s">
        <v>211</v>
      </c>
      <c r="P8" t="s">
        <v>211</v>
      </c>
      <c r="Q8">
        <v>1</v>
      </c>
      <c r="X8">
        <v>5.33</v>
      </c>
      <c r="Y8">
        <v>0</v>
      </c>
      <c r="Z8">
        <v>0</v>
      </c>
      <c r="AA8">
        <v>0</v>
      </c>
      <c r="AB8">
        <v>8.6</v>
      </c>
      <c r="AC8">
        <v>0</v>
      </c>
      <c r="AD8">
        <v>1</v>
      </c>
      <c r="AE8">
        <v>1</v>
      </c>
      <c r="AF8" t="s">
        <v>3</v>
      </c>
      <c r="AG8">
        <v>5.33</v>
      </c>
      <c r="AH8">
        <v>2</v>
      </c>
      <c r="AI8">
        <v>91269677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91269678</v>
      </c>
      <c r="C9">
        <v>91269676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26</v>
      </c>
      <c r="J9" t="s">
        <v>3</v>
      </c>
      <c r="K9" t="s">
        <v>214</v>
      </c>
      <c r="L9">
        <v>608254</v>
      </c>
      <c r="N9">
        <v>1013</v>
      </c>
      <c r="O9" t="s">
        <v>215</v>
      </c>
      <c r="P9" t="s">
        <v>215</v>
      </c>
      <c r="Q9">
        <v>1</v>
      </c>
      <c r="X9">
        <v>3.56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3</v>
      </c>
      <c r="AG9">
        <v>3.56</v>
      </c>
      <c r="AH9">
        <v>2</v>
      </c>
      <c r="AI9">
        <v>91269678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91269679</v>
      </c>
      <c r="C10">
        <v>91269676</v>
      </c>
      <c r="D10">
        <v>27440032</v>
      </c>
      <c r="E10">
        <v>1</v>
      </c>
      <c r="F10">
        <v>1</v>
      </c>
      <c r="G10">
        <v>1</v>
      </c>
      <c r="H10">
        <v>2</v>
      </c>
      <c r="I10" t="s">
        <v>216</v>
      </c>
      <c r="J10" t="s">
        <v>217</v>
      </c>
      <c r="K10" t="s">
        <v>218</v>
      </c>
      <c r="L10">
        <v>1368</v>
      </c>
      <c r="N10">
        <v>1011</v>
      </c>
      <c r="O10" t="s">
        <v>219</v>
      </c>
      <c r="P10" t="s">
        <v>219</v>
      </c>
      <c r="Q10">
        <v>1</v>
      </c>
      <c r="X10">
        <v>3.56</v>
      </c>
      <c r="Y10">
        <v>0</v>
      </c>
      <c r="Z10">
        <v>12.43</v>
      </c>
      <c r="AA10">
        <v>10.14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3.56</v>
      </c>
      <c r="AH10">
        <v>2</v>
      </c>
      <c r="AI10">
        <v>91269679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ROW(Source!A30)</f>
        <v>30</v>
      </c>
      <c r="B11">
        <v>91268962</v>
      </c>
      <c r="C11">
        <v>91268961</v>
      </c>
      <c r="D11">
        <v>27498288</v>
      </c>
      <c r="E11">
        <v>1</v>
      </c>
      <c r="F11">
        <v>1</v>
      </c>
      <c r="G11">
        <v>1</v>
      </c>
      <c r="H11">
        <v>1</v>
      </c>
      <c r="I11" t="s">
        <v>220</v>
      </c>
      <c r="J11" t="s">
        <v>3</v>
      </c>
      <c r="K11" t="s">
        <v>221</v>
      </c>
      <c r="L11">
        <v>1369</v>
      </c>
      <c r="N11">
        <v>1013</v>
      </c>
      <c r="O11" t="s">
        <v>211</v>
      </c>
      <c r="P11" t="s">
        <v>211</v>
      </c>
      <c r="Q11">
        <v>1</v>
      </c>
      <c r="X11">
        <v>47.87</v>
      </c>
      <c r="Y11">
        <v>0</v>
      </c>
      <c r="Z11">
        <v>0</v>
      </c>
      <c r="AA11">
        <v>0</v>
      </c>
      <c r="AB11">
        <v>9.0399999999999991</v>
      </c>
      <c r="AC11">
        <v>0</v>
      </c>
      <c r="AD11">
        <v>1</v>
      </c>
      <c r="AE11">
        <v>1</v>
      </c>
      <c r="AF11" t="s">
        <v>3</v>
      </c>
      <c r="AG11">
        <v>47.87</v>
      </c>
      <c r="AH11">
        <v>2</v>
      </c>
      <c r="AI11">
        <v>91268962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ROW(Source!A30)</f>
        <v>30</v>
      </c>
      <c r="B12">
        <v>91268963</v>
      </c>
      <c r="C12">
        <v>91268961</v>
      </c>
      <c r="D12">
        <v>27441327</v>
      </c>
      <c r="E12">
        <v>1</v>
      </c>
      <c r="F12">
        <v>1</v>
      </c>
      <c r="G12">
        <v>1</v>
      </c>
      <c r="H12">
        <v>2</v>
      </c>
      <c r="I12" t="s">
        <v>222</v>
      </c>
      <c r="J12" t="s">
        <v>223</v>
      </c>
      <c r="K12" t="s">
        <v>224</v>
      </c>
      <c r="L12">
        <v>1368</v>
      </c>
      <c r="N12">
        <v>1011</v>
      </c>
      <c r="O12" t="s">
        <v>219</v>
      </c>
      <c r="P12" t="s">
        <v>219</v>
      </c>
      <c r="Q12">
        <v>1</v>
      </c>
      <c r="X12">
        <v>1.52</v>
      </c>
      <c r="Y12">
        <v>0</v>
      </c>
      <c r="Z12">
        <v>93.37</v>
      </c>
      <c r="AA12">
        <v>11.69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1.52</v>
      </c>
      <c r="AH12">
        <v>2</v>
      </c>
      <c r="AI12">
        <v>91268963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91268964</v>
      </c>
      <c r="C13">
        <v>91268961</v>
      </c>
      <c r="D13">
        <v>27387103</v>
      </c>
      <c r="E13">
        <v>1</v>
      </c>
      <c r="F13">
        <v>1</v>
      </c>
      <c r="G13">
        <v>1</v>
      </c>
      <c r="H13">
        <v>3</v>
      </c>
      <c r="I13" t="s">
        <v>61</v>
      </c>
      <c r="J13" t="s">
        <v>64</v>
      </c>
      <c r="K13" t="s">
        <v>225</v>
      </c>
      <c r="L13">
        <v>1296</v>
      </c>
      <c r="N13">
        <v>1002</v>
      </c>
      <c r="O13" t="s">
        <v>226</v>
      </c>
      <c r="P13" t="s">
        <v>226</v>
      </c>
      <c r="Q13">
        <v>1</v>
      </c>
      <c r="X13">
        <v>0</v>
      </c>
      <c r="Y13">
        <v>46.86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 t="s">
        <v>3</v>
      </c>
      <c r="AG13">
        <v>0</v>
      </c>
      <c r="AH13">
        <v>2</v>
      </c>
      <c r="AI13">
        <v>91268964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91268965</v>
      </c>
      <c r="C14">
        <v>91268961</v>
      </c>
      <c r="D14">
        <v>27407668</v>
      </c>
      <c r="E14">
        <v>1</v>
      </c>
      <c r="F14">
        <v>1</v>
      </c>
      <c r="G14">
        <v>1</v>
      </c>
      <c r="H14">
        <v>3</v>
      </c>
      <c r="I14" t="s">
        <v>70</v>
      </c>
      <c r="J14" t="s">
        <v>72</v>
      </c>
      <c r="K14" t="s">
        <v>227</v>
      </c>
      <c r="L14">
        <v>1346</v>
      </c>
      <c r="N14">
        <v>1009</v>
      </c>
      <c r="O14" t="s">
        <v>63</v>
      </c>
      <c r="P14" t="s">
        <v>63</v>
      </c>
      <c r="Q14">
        <v>1</v>
      </c>
      <c r="X14">
        <v>0</v>
      </c>
      <c r="Y14">
        <v>0</v>
      </c>
      <c r="Z14">
        <v>0</v>
      </c>
      <c r="AA14">
        <v>0</v>
      </c>
      <c r="AB14">
        <v>0</v>
      </c>
      <c r="AC14">
        <v>1</v>
      </c>
      <c r="AD14">
        <v>0</v>
      </c>
      <c r="AE14">
        <v>0</v>
      </c>
      <c r="AF14" t="s">
        <v>3</v>
      </c>
      <c r="AG14">
        <v>0</v>
      </c>
      <c r="AH14">
        <v>2</v>
      </c>
      <c r="AI14">
        <v>91268965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ROW(Source!A30)</f>
        <v>30</v>
      </c>
      <c r="B15">
        <v>91268966</v>
      </c>
      <c r="C15">
        <v>91268961</v>
      </c>
      <c r="D15">
        <v>27416566</v>
      </c>
      <c r="E15">
        <v>1</v>
      </c>
      <c r="F15">
        <v>1</v>
      </c>
      <c r="G15">
        <v>1</v>
      </c>
      <c r="H15">
        <v>3</v>
      </c>
      <c r="I15" t="s">
        <v>75</v>
      </c>
      <c r="J15" t="s">
        <v>78</v>
      </c>
      <c r="K15" t="s">
        <v>76</v>
      </c>
      <c r="L15">
        <v>1339</v>
      </c>
      <c r="N15">
        <v>1007</v>
      </c>
      <c r="O15" t="s">
        <v>77</v>
      </c>
      <c r="P15" t="s">
        <v>77</v>
      </c>
      <c r="Q15">
        <v>1</v>
      </c>
      <c r="X15">
        <v>0</v>
      </c>
      <c r="Y15">
        <v>7.14</v>
      </c>
      <c r="Z15">
        <v>0</v>
      </c>
      <c r="AA15">
        <v>0</v>
      </c>
      <c r="AB15">
        <v>0</v>
      </c>
      <c r="AC15">
        <v>1</v>
      </c>
      <c r="AD15">
        <v>0</v>
      </c>
      <c r="AE15">
        <v>0</v>
      </c>
      <c r="AF15" t="s">
        <v>3</v>
      </c>
      <c r="AG15">
        <v>0</v>
      </c>
      <c r="AH15">
        <v>2</v>
      </c>
      <c r="AI15">
        <v>91268966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ROW(Source!A31)</f>
        <v>31</v>
      </c>
      <c r="B16">
        <v>91268962</v>
      </c>
      <c r="C16">
        <v>91268961</v>
      </c>
      <c r="D16">
        <v>27498288</v>
      </c>
      <c r="E16">
        <v>1</v>
      </c>
      <c r="F16">
        <v>1</v>
      </c>
      <c r="G16">
        <v>1</v>
      </c>
      <c r="H16">
        <v>1</v>
      </c>
      <c r="I16" t="s">
        <v>220</v>
      </c>
      <c r="J16" t="s">
        <v>3</v>
      </c>
      <c r="K16" t="s">
        <v>221</v>
      </c>
      <c r="L16">
        <v>1369</v>
      </c>
      <c r="N16">
        <v>1013</v>
      </c>
      <c r="O16" t="s">
        <v>211</v>
      </c>
      <c r="P16" t="s">
        <v>211</v>
      </c>
      <c r="Q16">
        <v>1</v>
      </c>
      <c r="X16">
        <v>47.87</v>
      </c>
      <c r="Y16">
        <v>0</v>
      </c>
      <c r="Z16">
        <v>0</v>
      </c>
      <c r="AA16">
        <v>0</v>
      </c>
      <c r="AB16">
        <v>9.0399999999999991</v>
      </c>
      <c r="AC16">
        <v>0</v>
      </c>
      <c r="AD16">
        <v>1</v>
      </c>
      <c r="AE16">
        <v>1</v>
      </c>
      <c r="AF16" t="s">
        <v>3</v>
      </c>
      <c r="AG16">
        <v>47.87</v>
      </c>
      <c r="AH16">
        <v>2</v>
      </c>
      <c r="AI16">
        <v>91268962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ROW(Source!A31)</f>
        <v>31</v>
      </c>
      <c r="B17">
        <v>91268963</v>
      </c>
      <c r="C17">
        <v>91268961</v>
      </c>
      <c r="D17">
        <v>27441327</v>
      </c>
      <c r="E17">
        <v>1</v>
      </c>
      <c r="F17">
        <v>1</v>
      </c>
      <c r="G17">
        <v>1</v>
      </c>
      <c r="H17">
        <v>2</v>
      </c>
      <c r="I17" t="s">
        <v>222</v>
      </c>
      <c r="J17" t="s">
        <v>223</v>
      </c>
      <c r="K17" t="s">
        <v>224</v>
      </c>
      <c r="L17">
        <v>1368</v>
      </c>
      <c r="N17">
        <v>1011</v>
      </c>
      <c r="O17" t="s">
        <v>219</v>
      </c>
      <c r="P17" t="s">
        <v>219</v>
      </c>
      <c r="Q17">
        <v>1</v>
      </c>
      <c r="X17">
        <v>1.52</v>
      </c>
      <c r="Y17">
        <v>0</v>
      </c>
      <c r="Z17">
        <v>93.37</v>
      </c>
      <c r="AA17">
        <v>11.69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1.52</v>
      </c>
      <c r="AH17">
        <v>2</v>
      </c>
      <c r="AI17">
        <v>91268963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ROW(Source!A31)</f>
        <v>31</v>
      </c>
      <c r="B18">
        <v>91268964</v>
      </c>
      <c r="C18">
        <v>91268961</v>
      </c>
      <c r="D18">
        <v>27387103</v>
      </c>
      <c r="E18">
        <v>1</v>
      </c>
      <c r="F18">
        <v>1</v>
      </c>
      <c r="G18">
        <v>1</v>
      </c>
      <c r="H18">
        <v>3</v>
      </c>
      <c r="I18" t="s">
        <v>61</v>
      </c>
      <c r="J18" t="s">
        <v>64</v>
      </c>
      <c r="K18" t="s">
        <v>225</v>
      </c>
      <c r="L18">
        <v>1296</v>
      </c>
      <c r="N18">
        <v>1002</v>
      </c>
      <c r="O18" t="s">
        <v>226</v>
      </c>
      <c r="P18" t="s">
        <v>226</v>
      </c>
      <c r="Q18">
        <v>1</v>
      </c>
      <c r="X18">
        <v>0</v>
      </c>
      <c r="Y18">
        <v>46.86</v>
      </c>
      <c r="Z18">
        <v>0</v>
      </c>
      <c r="AA18">
        <v>0</v>
      </c>
      <c r="AB18">
        <v>0</v>
      </c>
      <c r="AC18">
        <v>1</v>
      </c>
      <c r="AD18">
        <v>0</v>
      </c>
      <c r="AE18">
        <v>0</v>
      </c>
      <c r="AF18" t="s">
        <v>3</v>
      </c>
      <c r="AG18">
        <v>0</v>
      </c>
      <c r="AH18">
        <v>2</v>
      </c>
      <c r="AI18">
        <v>91268964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ROW(Source!A31)</f>
        <v>31</v>
      </c>
      <c r="B19">
        <v>91268965</v>
      </c>
      <c r="C19">
        <v>91268961</v>
      </c>
      <c r="D19">
        <v>27407668</v>
      </c>
      <c r="E19">
        <v>1</v>
      </c>
      <c r="F19">
        <v>1</v>
      </c>
      <c r="G19">
        <v>1</v>
      </c>
      <c r="H19">
        <v>3</v>
      </c>
      <c r="I19" t="s">
        <v>70</v>
      </c>
      <c r="J19" t="s">
        <v>72</v>
      </c>
      <c r="K19" t="s">
        <v>227</v>
      </c>
      <c r="L19">
        <v>1346</v>
      </c>
      <c r="N19">
        <v>1009</v>
      </c>
      <c r="O19" t="s">
        <v>63</v>
      </c>
      <c r="P19" t="s">
        <v>63</v>
      </c>
      <c r="Q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0</v>
      </c>
      <c r="AE19">
        <v>0</v>
      </c>
      <c r="AF19" t="s">
        <v>3</v>
      </c>
      <c r="AG19">
        <v>0</v>
      </c>
      <c r="AH19">
        <v>2</v>
      </c>
      <c r="AI19">
        <v>91268965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ROW(Source!A31)</f>
        <v>31</v>
      </c>
      <c r="B20">
        <v>91268966</v>
      </c>
      <c r="C20">
        <v>91268961</v>
      </c>
      <c r="D20">
        <v>27416566</v>
      </c>
      <c r="E20">
        <v>1</v>
      </c>
      <c r="F20">
        <v>1</v>
      </c>
      <c r="G20">
        <v>1</v>
      </c>
      <c r="H20">
        <v>3</v>
      </c>
      <c r="I20" t="s">
        <v>75</v>
      </c>
      <c r="J20" t="s">
        <v>78</v>
      </c>
      <c r="K20" t="s">
        <v>76</v>
      </c>
      <c r="L20">
        <v>1339</v>
      </c>
      <c r="N20">
        <v>1007</v>
      </c>
      <c r="O20" t="s">
        <v>77</v>
      </c>
      <c r="P20" t="s">
        <v>77</v>
      </c>
      <c r="Q20">
        <v>1</v>
      </c>
      <c r="X20">
        <v>0</v>
      </c>
      <c r="Y20">
        <v>7.14</v>
      </c>
      <c r="Z20">
        <v>0</v>
      </c>
      <c r="AA20">
        <v>0</v>
      </c>
      <c r="AB20">
        <v>0</v>
      </c>
      <c r="AC20">
        <v>1</v>
      </c>
      <c r="AD20">
        <v>0</v>
      </c>
      <c r="AE20">
        <v>0</v>
      </c>
      <c r="AF20" t="s">
        <v>3</v>
      </c>
      <c r="AG20">
        <v>0</v>
      </c>
      <c r="AH20">
        <v>2</v>
      </c>
      <c r="AI20">
        <v>91268966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ROW(Source!A38)</f>
        <v>38</v>
      </c>
      <c r="B21">
        <v>91268971</v>
      </c>
      <c r="C21">
        <v>91268970</v>
      </c>
      <c r="D21">
        <v>27498288</v>
      </c>
      <c r="E21">
        <v>1</v>
      </c>
      <c r="F21">
        <v>1</v>
      </c>
      <c r="G21">
        <v>1</v>
      </c>
      <c r="H21">
        <v>1</v>
      </c>
      <c r="I21" t="s">
        <v>220</v>
      </c>
      <c r="J21" t="s">
        <v>3</v>
      </c>
      <c r="K21" t="s">
        <v>221</v>
      </c>
      <c r="L21">
        <v>1369</v>
      </c>
      <c r="N21">
        <v>1013</v>
      </c>
      <c r="O21" t="s">
        <v>211</v>
      </c>
      <c r="P21" t="s">
        <v>211</v>
      </c>
      <c r="Q21">
        <v>1</v>
      </c>
      <c r="X21">
        <v>4.38</v>
      </c>
      <c r="Y21">
        <v>0</v>
      </c>
      <c r="Z21">
        <v>0</v>
      </c>
      <c r="AA21">
        <v>0</v>
      </c>
      <c r="AB21">
        <v>9.0399999999999991</v>
      </c>
      <c r="AC21">
        <v>0</v>
      </c>
      <c r="AD21">
        <v>1</v>
      </c>
      <c r="AE21">
        <v>1</v>
      </c>
      <c r="AF21" t="s">
        <v>84</v>
      </c>
      <c r="AG21">
        <v>15.768000000000001</v>
      </c>
      <c r="AH21">
        <v>2</v>
      </c>
      <c r="AI21">
        <v>91268971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ROW(Source!A38)</f>
        <v>38</v>
      </c>
      <c r="B22">
        <v>91268972</v>
      </c>
      <c r="C22">
        <v>91268970</v>
      </c>
      <c r="D22">
        <v>27441327</v>
      </c>
      <c r="E22">
        <v>1</v>
      </c>
      <c r="F22">
        <v>1</v>
      </c>
      <c r="G22">
        <v>1</v>
      </c>
      <c r="H22">
        <v>2</v>
      </c>
      <c r="I22" t="s">
        <v>222</v>
      </c>
      <c r="J22" t="s">
        <v>223</v>
      </c>
      <c r="K22" t="s">
        <v>224</v>
      </c>
      <c r="L22">
        <v>1368</v>
      </c>
      <c r="N22">
        <v>1011</v>
      </c>
      <c r="O22" t="s">
        <v>219</v>
      </c>
      <c r="P22" t="s">
        <v>219</v>
      </c>
      <c r="Q22">
        <v>1</v>
      </c>
      <c r="X22">
        <v>0.38</v>
      </c>
      <c r="Y22">
        <v>0</v>
      </c>
      <c r="Z22">
        <v>93.37</v>
      </c>
      <c r="AA22">
        <v>11.69</v>
      </c>
      <c r="AB22">
        <v>0</v>
      </c>
      <c r="AC22">
        <v>0</v>
      </c>
      <c r="AD22">
        <v>1</v>
      </c>
      <c r="AE22">
        <v>0</v>
      </c>
      <c r="AF22" t="s">
        <v>84</v>
      </c>
      <c r="AG22">
        <v>1.3680000000000001</v>
      </c>
      <c r="AH22">
        <v>2</v>
      </c>
      <c r="AI22">
        <v>91268972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ROW(Source!A38)</f>
        <v>38</v>
      </c>
      <c r="B23">
        <v>91268973</v>
      </c>
      <c r="C23">
        <v>91268970</v>
      </c>
      <c r="D23">
        <v>27407668</v>
      </c>
      <c r="E23">
        <v>1</v>
      </c>
      <c r="F23">
        <v>1</v>
      </c>
      <c r="G23">
        <v>1</v>
      </c>
      <c r="H23">
        <v>3</v>
      </c>
      <c r="I23" t="s">
        <v>70</v>
      </c>
      <c r="J23" t="s">
        <v>72</v>
      </c>
      <c r="K23" t="s">
        <v>227</v>
      </c>
      <c r="L23">
        <v>1346</v>
      </c>
      <c r="N23">
        <v>1009</v>
      </c>
      <c r="O23" t="s">
        <v>63</v>
      </c>
      <c r="P23" t="s">
        <v>63</v>
      </c>
      <c r="Q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 t="s">
        <v>84</v>
      </c>
      <c r="AG23">
        <v>0</v>
      </c>
      <c r="AH23">
        <v>3</v>
      </c>
      <c r="AI23">
        <v>-1</v>
      </c>
      <c r="AJ23" t="s">
        <v>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ROW(Source!A38)</f>
        <v>38</v>
      </c>
      <c r="B24">
        <v>91268974</v>
      </c>
      <c r="C24">
        <v>91268970</v>
      </c>
      <c r="D24">
        <v>27416566</v>
      </c>
      <c r="E24">
        <v>1</v>
      </c>
      <c r="F24">
        <v>1</v>
      </c>
      <c r="G24">
        <v>1</v>
      </c>
      <c r="H24">
        <v>3</v>
      </c>
      <c r="I24" t="s">
        <v>75</v>
      </c>
      <c r="J24" t="s">
        <v>78</v>
      </c>
      <c r="K24" t="s">
        <v>76</v>
      </c>
      <c r="L24">
        <v>1339</v>
      </c>
      <c r="N24">
        <v>1007</v>
      </c>
      <c r="O24" t="s">
        <v>77</v>
      </c>
      <c r="P24" t="s">
        <v>77</v>
      </c>
      <c r="Q24">
        <v>1</v>
      </c>
      <c r="X24">
        <v>0</v>
      </c>
      <c r="Y24">
        <v>7.14</v>
      </c>
      <c r="Z24">
        <v>0</v>
      </c>
      <c r="AA24">
        <v>0</v>
      </c>
      <c r="AB24">
        <v>0</v>
      </c>
      <c r="AC24">
        <v>1</v>
      </c>
      <c r="AD24">
        <v>0</v>
      </c>
      <c r="AE24">
        <v>0</v>
      </c>
      <c r="AF24" t="s">
        <v>84</v>
      </c>
      <c r="AG24">
        <v>0</v>
      </c>
      <c r="AH24">
        <v>3</v>
      </c>
      <c r="AI24">
        <v>-1</v>
      </c>
      <c r="AJ24" t="s">
        <v>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ROW(Source!A39)</f>
        <v>39</v>
      </c>
      <c r="B25">
        <v>91268971</v>
      </c>
      <c r="C25">
        <v>91268970</v>
      </c>
      <c r="D25">
        <v>27498288</v>
      </c>
      <c r="E25">
        <v>1</v>
      </c>
      <c r="F25">
        <v>1</v>
      </c>
      <c r="G25">
        <v>1</v>
      </c>
      <c r="H25">
        <v>1</v>
      </c>
      <c r="I25" t="s">
        <v>220</v>
      </c>
      <c r="J25" t="s">
        <v>3</v>
      </c>
      <c r="K25" t="s">
        <v>221</v>
      </c>
      <c r="L25">
        <v>1369</v>
      </c>
      <c r="N25">
        <v>1013</v>
      </c>
      <c r="O25" t="s">
        <v>211</v>
      </c>
      <c r="P25" t="s">
        <v>211</v>
      </c>
      <c r="Q25">
        <v>1</v>
      </c>
      <c r="X25">
        <v>4.38</v>
      </c>
      <c r="Y25">
        <v>0</v>
      </c>
      <c r="Z25">
        <v>0</v>
      </c>
      <c r="AA25">
        <v>0</v>
      </c>
      <c r="AB25">
        <v>9.0399999999999991</v>
      </c>
      <c r="AC25">
        <v>0</v>
      </c>
      <c r="AD25">
        <v>1</v>
      </c>
      <c r="AE25">
        <v>1</v>
      </c>
      <c r="AF25" t="s">
        <v>84</v>
      </c>
      <c r="AG25">
        <v>15.768000000000001</v>
      </c>
      <c r="AH25">
        <v>2</v>
      </c>
      <c r="AI25">
        <v>91268971</v>
      </c>
      <c r="AJ25">
        <v>23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ROW(Source!A39)</f>
        <v>39</v>
      </c>
      <c r="B26">
        <v>91268972</v>
      </c>
      <c r="C26">
        <v>91268970</v>
      </c>
      <c r="D26">
        <v>27441327</v>
      </c>
      <c r="E26">
        <v>1</v>
      </c>
      <c r="F26">
        <v>1</v>
      </c>
      <c r="G26">
        <v>1</v>
      </c>
      <c r="H26">
        <v>2</v>
      </c>
      <c r="I26" t="s">
        <v>222</v>
      </c>
      <c r="J26" t="s">
        <v>223</v>
      </c>
      <c r="K26" t="s">
        <v>224</v>
      </c>
      <c r="L26">
        <v>1368</v>
      </c>
      <c r="N26">
        <v>1011</v>
      </c>
      <c r="O26" t="s">
        <v>219</v>
      </c>
      <c r="P26" t="s">
        <v>219</v>
      </c>
      <c r="Q26">
        <v>1</v>
      </c>
      <c r="X26">
        <v>0.38</v>
      </c>
      <c r="Y26">
        <v>0</v>
      </c>
      <c r="Z26">
        <v>93.37</v>
      </c>
      <c r="AA26">
        <v>11.69</v>
      </c>
      <c r="AB26">
        <v>0</v>
      </c>
      <c r="AC26">
        <v>0</v>
      </c>
      <c r="AD26">
        <v>1</v>
      </c>
      <c r="AE26">
        <v>0</v>
      </c>
      <c r="AF26" t="s">
        <v>84</v>
      </c>
      <c r="AG26">
        <v>1.3680000000000001</v>
      </c>
      <c r="AH26">
        <v>2</v>
      </c>
      <c r="AI26">
        <v>91268972</v>
      </c>
      <c r="AJ26">
        <v>24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ROW(Source!A39)</f>
        <v>39</v>
      </c>
      <c r="B27">
        <v>91268973</v>
      </c>
      <c r="C27">
        <v>91268970</v>
      </c>
      <c r="D27">
        <v>27407668</v>
      </c>
      <c r="E27">
        <v>1</v>
      </c>
      <c r="F27">
        <v>1</v>
      </c>
      <c r="G27">
        <v>1</v>
      </c>
      <c r="H27">
        <v>3</v>
      </c>
      <c r="I27" t="s">
        <v>70</v>
      </c>
      <c r="J27" t="s">
        <v>72</v>
      </c>
      <c r="K27" t="s">
        <v>227</v>
      </c>
      <c r="L27">
        <v>1346</v>
      </c>
      <c r="N27">
        <v>1009</v>
      </c>
      <c r="O27" t="s">
        <v>63</v>
      </c>
      <c r="P27" t="s">
        <v>63</v>
      </c>
      <c r="Q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0</v>
      </c>
      <c r="AE27">
        <v>0</v>
      </c>
      <c r="AF27" t="s">
        <v>84</v>
      </c>
      <c r="AG27">
        <v>0</v>
      </c>
      <c r="AH27">
        <v>3</v>
      </c>
      <c r="AI27">
        <v>-1</v>
      </c>
      <c r="AJ27" t="s">
        <v>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ROW(Source!A39)</f>
        <v>39</v>
      </c>
      <c r="B28">
        <v>91268974</v>
      </c>
      <c r="C28">
        <v>91268970</v>
      </c>
      <c r="D28">
        <v>27416566</v>
      </c>
      <c r="E28">
        <v>1</v>
      </c>
      <c r="F28">
        <v>1</v>
      </c>
      <c r="G28">
        <v>1</v>
      </c>
      <c r="H28">
        <v>3</v>
      </c>
      <c r="I28" t="s">
        <v>75</v>
      </c>
      <c r="J28" t="s">
        <v>78</v>
      </c>
      <c r="K28" t="s">
        <v>76</v>
      </c>
      <c r="L28">
        <v>1339</v>
      </c>
      <c r="N28">
        <v>1007</v>
      </c>
      <c r="O28" t="s">
        <v>77</v>
      </c>
      <c r="P28" t="s">
        <v>77</v>
      </c>
      <c r="Q28">
        <v>1</v>
      </c>
      <c r="X28">
        <v>0</v>
      </c>
      <c r="Y28">
        <v>7.14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0</v>
      </c>
      <c r="AF28" t="s">
        <v>84</v>
      </c>
      <c r="AG28">
        <v>0</v>
      </c>
      <c r="AH28">
        <v>3</v>
      </c>
      <c r="AI28">
        <v>-1</v>
      </c>
      <c r="AJ28" t="s">
        <v>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ROW(Source!A40)</f>
        <v>40</v>
      </c>
      <c r="B29">
        <v>91270124</v>
      </c>
      <c r="C29">
        <v>91270123</v>
      </c>
      <c r="D29">
        <v>27493207</v>
      </c>
      <c r="E29">
        <v>1</v>
      </c>
      <c r="F29">
        <v>1</v>
      </c>
      <c r="G29">
        <v>1</v>
      </c>
      <c r="H29">
        <v>1</v>
      </c>
      <c r="I29" t="s">
        <v>209</v>
      </c>
      <c r="J29" t="s">
        <v>3</v>
      </c>
      <c r="K29" t="s">
        <v>210</v>
      </c>
      <c r="L29">
        <v>1369</v>
      </c>
      <c r="N29">
        <v>1013</v>
      </c>
      <c r="O29" t="s">
        <v>211</v>
      </c>
      <c r="P29" t="s">
        <v>211</v>
      </c>
      <c r="Q29">
        <v>1</v>
      </c>
      <c r="X29">
        <v>20.8</v>
      </c>
      <c r="Y29">
        <v>0</v>
      </c>
      <c r="Z29">
        <v>0</v>
      </c>
      <c r="AA29">
        <v>0</v>
      </c>
      <c r="AB29">
        <v>7.87</v>
      </c>
      <c r="AC29">
        <v>0</v>
      </c>
      <c r="AD29">
        <v>1</v>
      </c>
      <c r="AE29">
        <v>1</v>
      </c>
      <c r="AF29" t="s">
        <v>3</v>
      </c>
      <c r="AG29">
        <v>20.8</v>
      </c>
      <c r="AH29">
        <v>2</v>
      </c>
      <c r="AI29">
        <v>91270124</v>
      </c>
      <c r="AJ29">
        <v>25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ROW(Source!A41)</f>
        <v>41</v>
      </c>
      <c r="B30">
        <v>91270124</v>
      </c>
      <c r="C30">
        <v>91270123</v>
      </c>
      <c r="D30">
        <v>27493207</v>
      </c>
      <c r="E30">
        <v>1</v>
      </c>
      <c r="F30">
        <v>1</v>
      </c>
      <c r="G30">
        <v>1</v>
      </c>
      <c r="H30">
        <v>1</v>
      </c>
      <c r="I30" t="s">
        <v>209</v>
      </c>
      <c r="J30" t="s">
        <v>3</v>
      </c>
      <c r="K30" t="s">
        <v>210</v>
      </c>
      <c r="L30">
        <v>1369</v>
      </c>
      <c r="N30">
        <v>1013</v>
      </c>
      <c r="O30" t="s">
        <v>211</v>
      </c>
      <c r="P30" t="s">
        <v>211</v>
      </c>
      <c r="Q30">
        <v>1</v>
      </c>
      <c r="X30">
        <v>20.8</v>
      </c>
      <c r="Y30">
        <v>0</v>
      </c>
      <c r="Z30">
        <v>0</v>
      </c>
      <c r="AA30">
        <v>0</v>
      </c>
      <c r="AB30">
        <v>7.87</v>
      </c>
      <c r="AC30">
        <v>0</v>
      </c>
      <c r="AD30">
        <v>1</v>
      </c>
      <c r="AE30">
        <v>1</v>
      </c>
      <c r="AF30" t="s">
        <v>3</v>
      </c>
      <c r="AG30">
        <v>20.8</v>
      </c>
      <c r="AH30">
        <v>2</v>
      </c>
      <c r="AI30">
        <v>91270124</v>
      </c>
      <c r="AJ30">
        <v>26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4.Ведомость_списания</vt:lpstr>
      <vt:lpstr>3.Ресурсный_расчет</vt:lpstr>
      <vt:lpstr>2.Материалы</vt:lpstr>
      <vt:lpstr>1.Лок.смета.и.Акт</vt:lpstr>
      <vt:lpstr>SourceOb.1</vt:lpstr>
      <vt:lpstr>Source</vt:lpstr>
      <vt:lpstr>SourceObSm</vt:lpstr>
      <vt:lpstr>SmtRes</vt:lpstr>
      <vt:lpstr>EtalonRes</vt:lpstr>
      <vt:lpstr>SrcPoprs</vt:lpstr>
      <vt:lpstr>SrcKA</vt:lpstr>
      <vt:lpstr>'1.Лок.смета.и.Акт'!Заголовки_для_печати</vt:lpstr>
      <vt:lpstr>'2.Материалы'!Заголовки_для_печати</vt:lpstr>
      <vt:lpstr>'3.Ресурсный_расчет'!Заголовки_для_печати</vt:lpstr>
      <vt:lpstr>'4.Ведомость_списания'!Заголовки_для_печати</vt:lpstr>
      <vt:lpstr>'1.Лок.смета.и.Акт'!Область_печати</vt:lpstr>
      <vt:lpstr>'2.Материалы'!Область_печати</vt:lpstr>
      <vt:lpstr>'3.Ресурсный_расчет'!Область_печати</vt:lpstr>
      <vt:lpstr>'4.Ведомость_списания'!Область_печати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2026-04-08T07:40:59Z</cp:lastPrinted>
  <dcterms:created xsi:type="dcterms:W3CDTF">2026-04-07T11:22:05Z</dcterms:created>
  <dcterms:modified xsi:type="dcterms:W3CDTF">2026-04-10T11:23:25Z</dcterms:modified>
</cp:coreProperties>
</file>